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93A4F8BA-783C-9446-9860-C6D93FF8E979}" xr6:coauthVersionLast="47" xr6:coauthVersionMax="47" xr10:uidLastSave="{00000000-0000-0000-0000-000000000000}"/>
  <bookViews>
    <workbookView xWindow="0" yWindow="460" windowWidth="25600" windowHeight="15540" tabRatio="883" activeTab="5" xr2:uid="{00000000-000D-0000-FFFF-FFFF00000000}"/>
  </bookViews>
  <sheets>
    <sheet name="LOG" sheetId="243" r:id="rId1"/>
    <sheet name="Intro" sheetId="266" r:id="rId2"/>
    <sheet name="Processes" sheetId="231" r:id="rId3"/>
    <sheet name="Commodities" sheetId="216" r:id="rId4"/>
    <sheet name="Demand" sheetId="249" r:id="rId5"/>
    <sheet name="Agriculture" sheetId="235" r:id="rId6"/>
    <sheet name="AGR_Fuel" sheetId="232" r:id="rId7"/>
    <sheet name="Emis" sheetId="242" r:id="rId8"/>
    <sheet name="Energy matrix" sheetId="246" r:id="rId9"/>
    <sheet name="RegSplit" sheetId="275" r:id="rId10"/>
    <sheet name="2010" sheetId="276" r:id="rId11"/>
    <sheet name="2015" sheetId="277" r:id="rId12"/>
    <sheet name="2019" sheetId="279"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12">#REF!</definedName>
    <definedName name="aa">#REF!</definedName>
    <definedName name="åbanettt" localSheetId="12">#REF!</definedName>
    <definedName name="åbanettt">#REF!</definedName>
    <definedName name="åbrslelc">#REF!</definedName>
    <definedName name="åbrslkul">#REF!</definedName>
    <definedName name="åbrslnga">#REF!</definedName>
    <definedName name="åbrsloil">#REF!</definedName>
    <definedName name="åbrslve">#REF!</definedName>
    <definedName name="åbyrelc" localSheetId="12">'[2]Gas Works'!#REF!</definedName>
    <definedName name="åbyrelc">'[2]Gas Works'!#REF!</definedName>
    <definedName name="åfjvbrselc" localSheetId="12">'[2]Heat Production'!#REF!</definedName>
    <definedName name="åfjvbrselc">'[2]Heat Production'!#REF!</definedName>
    <definedName name="åfjvve" localSheetId="12">'[2]Heat Production'!#REF!</definedName>
    <definedName name="åfjvve">'[2]Heat Production'!#REF!</definedName>
    <definedName name="åfrsvttt" localSheetId="12">#REF!</definedName>
    <definedName name="åfrsvttt">#REF!</definedName>
    <definedName name="åfutbrsfjv" localSheetId="12">'[2]Heat Production'!#REF!</definedName>
    <definedName name="åfutbrsfjv">'[2]Heat Production'!#REF!</definedName>
    <definedName name="ågdtbrsfjv" localSheetId="12">'[2]Heat Production'!#REF!</definedName>
    <definedName name="ågdtbrsfjv">'[2]Heat Production'!#REF!</definedName>
    <definedName name="åimpbrsl" localSheetId="12">#REF!</definedName>
    <definedName name="åimpbrsl">#REF!</definedName>
    <definedName name="åimpfut" localSheetId="12">#REF!</definedName>
    <definedName name="åimpfut">#REF!</definedName>
    <definedName name="åimpkul" localSheetId="12">#REF!</definedName>
    <definedName name="åimpkul">#REF!</definedName>
    <definedName name="åimpnga">#REF!</definedName>
    <definedName name="åimpori">#REF!</definedName>
    <definedName name="åkonfjrrga">#REF!</definedName>
    <definedName name="åkonfjrttt">#REF!</definedName>
    <definedName name="åkonfvraff">#REF!</definedName>
    <definedName name="åkonfvrano">#REF!</definedName>
    <definedName name="åkonfvrbio">#REF!</definedName>
    <definedName name="åkonfvrfut">#REF!</definedName>
    <definedName name="åkonfvrgeo">#REF!</definedName>
    <definedName name="åkonfvrhal">#REF!</definedName>
    <definedName name="åkonfvrkul">#REF!</definedName>
    <definedName name="åkonfvrnga">#REF!</definedName>
    <definedName name="åkonfvrtræ">#REF!</definedName>
    <definedName name="åkonfvrvea">#REF!</definedName>
    <definedName name="åkulbrsfjv" localSheetId="12">'[2]Heat Production'!#REF!</definedName>
    <definedName name="åkulbrsfjv">'[2]Heat Production'!#REF!</definedName>
    <definedName name="ålfittt" localSheetId="12">#REF!</definedName>
    <definedName name="ålfittt">#REF!</definedName>
    <definedName name="ålfuttt" localSheetId="12">#REF!</definedName>
    <definedName name="ålfuttt">#REF!</definedName>
    <definedName name="All_TP" localSheetId="12">#REF!,#REF!,#REF!</definedName>
    <definedName name="All_TP">#REF!,#REF!,#REF!</definedName>
    <definedName name="All_US" localSheetId="12">#REF!,#REF!,#REF!</definedName>
    <definedName name="All_US">#REF!,#REF!,#REF!</definedName>
    <definedName name="ålpgbrsfjv" localSheetId="12">'[2]Heat Production'!#REF!</definedName>
    <definedName name="ålpgbrsfjv">'[2]Heat Production'!#REF!</definedName>
    <definedName name="ålvnbrsfjv" localSheetId="12">'[2]Heat Production'!#REF!</definedName>
    <definedName name="ålvnbrsfjv">'[2]Heat Production'!#REF!</definedName>
    <definedName name="ångabrsfjv" localSheetId="12">'[2]Heat Production'!#REF!</definedName>
    <definedName name="ångabrsfjv">'[2]Heat Production'!#REF!</definedName>
    <definedName name="AnnualProd_1">[3]Plants1!$N$14:$N$1884</definedName>
    <definedName name="åoribrselc" localSheetId="12">'[2]Electricity Production'!#REF!</definedName>
    <definedName name="åoribrselc">'[2]Electricity Production'!#REF!</definedName>
    <definedName name="åpkobrsfjv" localSheetId="12">'[2]Heat Production'!#REF!</definedName>
    <definedName name="åpkobrsfjv">'[2]Heat Production'!#REF!</definedName>
    <definedName name="årgabrsfjv">'[2]Heat Production'!#REF!</definedName>
    <definedName name="åsøttt" localSheetId="12">#REF!</definedName>
    <definedName name="åsøttt">#REF!</definedName>
    <definedName name="åspobrselc" localSheetId="12">'[2]Electricity Production'!#REF!</definedName>
    <definedName name="åspobrselc">'[2]Electricity Production'!#REF!</definedName>
    <definedName name="åspobrsfjv">'[2]Heat Production'!#REF!</definedName>
    <definedName name="åtrpelc" localSheetId="12">#REF!</definedName>
    <definedName name="åtrpelc">#REF!</definedName>
    <definedName name="åtrpttt" localSheetId="12">#REF!</definedName>
    <definedName name="åtrpttt">#REF!</definedName>
    <definedName name="åudvraf" localSheetId="12">'[2]Gross Energy Consumption (obs.)'!#REF!</definedName>
    <definedName name="åudvraf">'[2]Gross Energy Consumption (obs.)'!#REF!</definedName>
    <definedName name="åvejttt" localSheetId="12">#REF!</definedName>
    <definedName name="åvejttt">#REF!</definedName>
    <definedName name="BaseYear">[3]Start!$D$22</definedName>
    <definedName name="BiomassLargeCHP">[4]TechnologyData!$A$14:$M$41</definedName>
    <definedName name="body1ea" localSheetId="12">#REF!</definedName>
    <definedName name="body1ea">#REF!</definedName>
    <definedName name="body1eb" localSheetId="12">#REF!</definedName>
    <definedName name="body1eb">#REF!</definedName>
    <definedName name="body1fa" localSheetId="12">#REF!</definedName>
    <definedName name="body1fa">#REF!</definedName>
    <definedName name="body1fb">#REF!</definedName>
    <definedName name="body1ga">#REF!</definedName>
    <definedName name="body1gb">#REF!</definedName>
    <definedName name="body2ea">#REF!</definedName>
    <definedName name="body2eb">#REF!</definedName>
    <definedName name="body2f">#REF!</definedName>
    <definedName name="body2fa">#REF!</definedName>
    <definedName name="body2fb">#REF!</definedName>
    <definedName name="body2ga">#REF!</definedName>
    <definedName name="body2gb">#REF!</definedName>
    <definedName name="body3ea">#REF!</definedName>
    <definedName name="body3eb">#REF!</definedName>
    <definedName name="body3fa">#REF!</definedName>
    <definedName name="body3fb">#REF!</definedName>
    <definedName name="body3ga">#REF!</definedName>
    <definedName name="body3gb">#REF!</definedName>
    <definedName name="body4ea">#REF!</definedName>
    <definedName name="body4eb">#REF!</definedName>
    <definedName name="body4f">#REF!</definedName>
    <definedName name="body4fa">#REF!</definedName>
    <definedName name="body4fb">#REF!</definedName>
    <definedName name="body4ga">#REF!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12">#REF!</definedName>
    <definedName name="countrye">#REF!</definedName>
    <definedName name="countryf" localSheetId="12">#REF!</definedName>
    <definedName name="countryf">#REF!</definedName>
    <definedName name="countryg" localSheetId="12">#REF!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12">#REF!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2">[4]Subsidy!#REF!</definedName>
    <definedName name="ElPriceMix" localSheetId="1">[4]Subsidy!#REF!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12">#REF!</definedName>
    <definedName name="fjvkorr_kurt">#REF!</definedName>
    <definedName name="FuelDesc">[3]Fuel!$T$12:$U$34</definedName>
    <definedName name="FuelPrices" localSheetId="12">#REF!</definedName>
    <definedName name="FuelPrices" localSheetId="1">#REF!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12"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12">[4]General!#REF!</definedName>
    <definedName name="Inflation" localSheetId="1">[4]General!#REF!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12">[4]General!#REF!</definedName>
    <definedName name="nhydro">[4]General!#REF!</definedName>
    <definedName name="NyeNGCC">[4]Plants!$J$5</definedName>
    <definedName name="øbgabrsl" localSheetId="12">#REF!</definedName>
    <definedName name="øbgabrsl">#REF!</definedName>
    <definedName name="øelcbrsl">#REF!</definedName>
    <definedName name="OffshoreWindPark">[4]TechnologyData!$O$43:$AA$70</definedName>
    <definedName name="øfjvbrsl" localSheetId="12">#REF!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12">#REF!</definedName>
    <definedName name="Prisår_Til_Ramses" localSheetId="1">#REF!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12">[14]Macro1!#REF!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12">#REF!</definedName>
    <definedName name="TP.Electricity_and_RES">#REF!</definedName>
    <definedName name="TP.Petroleum" localSheetId="12">#REF!</definedName>
    <definedName name="TP.Petroleum">#REF!</definedName>
    <definedName name="TP.Solids_and_Gases" localSheetId="12">#REF!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12">#REF!</definedName>
    <definedName name="US.Electricity_and_RES">#REF!</definedName>
    <definedName name="US.Petroleum" localSheetId="12">#REF!</definedName>
    <definedName name="US.Petroleum">#REF!</definedName>
    <definedName name="US.Solids_and_Gases" localSheetId="12">#REF!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12">#REF!</definedName>
    <definedName name="yeare">#REF!</definedName>
    <definedName name="yearf" localSheetId="12">#REF!</definedName>
    <definedName name="yearf">#REF!</definedName>
    <definedName name="yearg" localSheetId="12">#REF!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Z26" i="235" l="1"/>
  <c r="P101" i="235"/>
  <c r="N101" i="235"/>
  <c r="G101" i="235"/>
  <c r="O76" i="235"/>
  <c r="O101" i="235" s="1"/>
  <c r="P76" i="235"/>
  <c r="K76" i="235"/>
  <c r="K101" i="235" s="1"/>
  <c r="L76" i="235"/>
  <c r="L101" i="235" s="1"/>
  <c r="M76" i="235"/>
  <c r="M101" i="235" s="1"/>
  <c r="N76" i="235"/>
  <c r="E76" i="235"/>
  <c r="E101" i="235" s="1"/>
  <c r="F76" i="235"/>
  <c r="F101" i="235" s="1"/>
  <c r="G76" i="235"/>
  <c r="H76" i="235"/>
  <c r="H101" i="235" s="1"/>
  <c r="I76" i="235"/>
  <c r="I101" i="235" s="1"/>
  <c r="J76" i="235"/>
  <c r="J101" i="235" s="1"/>
  <c r="K171" i="235"/>
  <c r="L171" i="235"/>
  <c r="T129" i="235"/>
  <c r="V129" i="235"/>
  <c r="T130" i="235"/>
  <c r="V130" i="235"/>
  <c r="T131" i="235"/>
  <c r="V131" i="235"/>
  <c r="T132" i="235"/>
  <c r="V132" i="235"/>
  <c r="T133" i="235"/>
  <c r="V133" i="235"/>
  <c r="T134" i="235"/>
  <c r="V134" i="235"/>
  <c r="T135" i="235"/>
  <c r="V135" i="235"/>
  <c r="T136" i="235"/>
  <c r="V136" i="235"/>
  <c r="T137" i="235"/>
  <c r="V137" i="235"/>
  <c r="T138" i="235"/>
  <c r="V138" i="235"/>
  <c r="T139" i="235"/>
  <c r="V139" i="235"/>
  <c r="T140" i="235"/>
  <c r="V140" i="235"/>
  <c r="V104" i="235"/>
  <c r="V105" i="235"/>
  <c r="V106" i="235"/>
  <c r="V107" i="235"/>
  <c r="V108" i="235"/>
  <c r="V109" i="235"/>
  <c r="V110" i="235"/>
  <c r="V111" i="235"/>
  <c r="V112" i="235"/>
  <c r="V113" i="235"/>
  <c r="V114" i="235"/>
  <c r="V115" i="235"/>
  <c r="T104" i="235"/>
  <c r="T105" i="235"/>
  <c r="T106" i="235"/>
  <c r="T107" i="235"/>
  <c r="T108" i="235"/>
  <c r="T109" i="235"/>
  <c r="T110" i="235"/>
  <c r="T111" i="235"/>
  <c r="T112" i="235"/>
  <c r="T113" i="235"/>
  <c r="T114" i="235"/>
  <c r="T115" i="235"/>
  <c r="V79" i="235"/>
  <c r="V80" i="235"/>
  <c r="V81" i="235"/>
  <c r="V82" i="235"/>
  <c r="V83" i="235"/>
  <c r="V84" i="235"/>
  <c r="V85" i="235"/>
  <c r="V86" i="235"/>
  <c r="V87" i="235"/>
  <c r="V88" i="235"/>
  <c r="V89" i="235"/>
  <c r="V90" i="235"/>
  <c r="V78" i="235" l="1"/>
  <c r="V91" i="235" s="1"/>
  <c r="T79" i="235" l="1"/>
  <c r="T80" i="235"/>
  <c r="T81" i="235"/>
  <c r="T82" i="235"/>
  <c r="T83" i="235"/>
  <c r="T84" i="235"/>
  <c r="T85" i="235"/>
  <c r="T86" i="235"/>
  <c r="T87" i="235"/>
  <c r="T88" i="235"/>
  <c r="T89" i="235"/>
  <c r="T90" i="235"/>
  <c r="P48" i="246" l="1"/>
  <c r="P49" i="246"/>
  <c r="P50" i="246"/>
  <c r="P51" i="246"/>
  <c r="P52" i="246"/>
  <c r="P53" i="246"/>
  <c r="P54" i="246"/>
  <c r="P55" i="246"/>
  <c r="P56" i="246"/>
  <c r="P57" i="246"/>
  <c r="P58" i="246"/>
  <c r="P59" i="246"/>
  <c r="P60" i="246"/>
  <c r="P61" i="246"/>
  <c r="P62" i="246"/>
  <c r="P47" i="246"/>
  <c r="C52" i="246"/>
  <c r="D52" i="246"/>
  <c r="E52" i="246"/>
  <c r="F52" i="246"/>
  <c r="G52" i="246"/>
  <c r="H52" i="246"/>
  <c r="I52" i="246"/>
  <c r="J52" i="246"/>
  <c r="K52" i="246"/>
  <c r="L52" i="246"/>
  <c r="M52" i="246"/>
  <c r="N52" i="246"/>
  <c r="O52" i="246"/>
  <c r="D31" i="246"/>
  <c r="E31" i="246"/>
  <c r="F31" i="246"/>
  <c r="G31" i="246"/>
  <c r="H31" i="246"/>
  <c r="I31" i="246"/>
  <c r="J31" i="246"/>
  <c r="K31" i="246"/>
  <c r="L31" i="246"/>
  <c r="M31" i="246"/>
  <c r="N31" i="246"/>
  <c r="O31" i="246"/>
  <c r="C31" i="246"/>
  <c r="P31" i="246" s="1"/>
  <c r="D10" i="246"/>
  <c r="E10" i="246"/>
  <c r="F10" i="246"/>
  <c r="G10" i="246"/>
  <c r="H10" i="246"/>
  <c r="I10" i="246"/>
  <c r="J10" i="246"/>
  <c r="K10" i="246"/>
  <c r="L10" i="246"/>
  <c r="M10" i="246"/>
  <c r="N10" i="246"/>
  <c r="O10" i="246"/>
  <c r="C10" i="246"/>
  <c r="T43" i="277"/>
  <c r="T44" i="277"/>
  <c r="T45" i="277"/>
  <c r="T46" i="277"/>
  <c r="T47" i="277"/>
  <c r="T48" i="277"/>
  <c r="T49" i="277"/>
  <c r="T50" i="277"/>
  <c r="T51" i="277"/>
  <c r="P10" i="246" l="1"/>
  <c r="D16" i="246"/>
  <c r="E16" i="246"/>
  <c r="F16" i="246"/>
  <c r="G16" i="246"/>
  <c r="H16" i="246"/>
  <c r="I16" i="246"/>
  <c r="J16" i="246"/>
  <c r="K16" i="246"/>
  <c r="L16" i="246"/>
  <c r="M16" i="246"/>
  <c r="N16" i="246"/>
  <c r="O16" i="246"/>
  <c r="J30" i="277"/>
  <c r="J31" i="277"/>
  <c r="J32" i="277"/>
  <c r="J33" i="277"/>
  <c r="J34" i="277"/>
  <c r="J35" i="277"/>
  <c r="J36" i="277"/>
  <c r="J37" i="277"/>
  <c r="J38" i="277"/>
  <c r="J39" i="277"/>
  <c r="J40" i="277"/>
  <c r="J41" i="277"/>
  <c r="J42" i="277"/>
  <c r="J30" i="279"/>
  <c r="J31" i="279"/>
  <c r="J32" i="279"/>
  <c r="J33" i="279"/>
  <c r="J34" i="279"/>
  <c r="J35" i="279"/>
  <c r="J36" i="279"/>
  <c r="J37" i="279"/>
  <c r="J38" i="279"/>
  <c r="J39" i="279"/>
  <c r="J40" i="279"/>
  <c r="J41" i="279"/>
  <c r="J42" i="279"/>
  <c r="J30" i="276"/>
  <c r="J31" i="276"/>
  <c r="J32" i="276"/>
  <c r="J33" i="276"/>
  <c r="J34" i="276"/>
  <c r="J35" i="276"/>
  <c r="J36" i="276"/>
  <c r="J37" i="276"/>
  <c r="J38" i="276"/>
  <c r="J39" i="276"/>
  <c r="J40" i="276"/>
  <c r="J41" i="276"/>
  <c r="J42" i="276"/>
  <c r="J29" i="277"/>
  <c r="J29" i="279"/>
  <c r="J29" i="276"/>
  <c r="K55" i="277"/>
  <c r="K54" i="277"/>
  <c r="K53" i="277"/>
  <c r="K52" i="277"/>
  <c r="K50" i="277"/>
  <c r="K49" i="277"/>
  <c r="K48" i="277"/>
  <c r="K47" i="277"/>
  <c r="K46" i="277"/>
  <c r="K45" i="277"/>
  <c r="K44" i="277"/>
  <c r="K43" i="277"/>
  <c r="K28" i="277"/>
  <c r="K27" i="277"/>
  <c r="K26" i="277"/>
  <c r="K25" i="277"/>
  <c r="K24" i="277"/>
  <c r="K23" i="277"/>
  <c r="K22" i="277"/>
  <c r="K21" i="277"/>
  <c r="K20" i="277"/>
  <c r="K19" i="277"/>
  <c r="K18" i="277"/>
  <c r="K17" i="277"/>
  <c r="K16" i="277"/>
  <c r="K15" i="277"/>
  <c r="K14" i="277"/>
  <c r="K13" i="277"/>
  <c r="K12" i="277"/>
  <c r="K11" i="277"/>
  <c r="K10" i="277"/>
  <c r="K9" i="277"/>
  <c r="K8" i="277"/>
  <c r="K7" i="277"/>
  <c r="K6" i="277"/>
  <c r="K55" i="279"/>
  <c r="K54" i="279"/>
  <c r="K53" i="279"/>
  <c r="K52" i="279"/>
  <c r="K50" i="279"/>
  <c r="K49" i="279"/>
  <c r="K48" i="279"/>
  <c r="K47" i="279"/>
  <c r="K46" i="279"/>
  <c r="K45" i="279"/>
  <c r="K44" i="279"/>
  <c r="K43" i="279"/>
  <c r="K28" i="279"/>
  <c r="K27" i="279"/>
  <c r="K26" i="279"/>
  <c r="K25" i="279"/>
  <c r="K24" i="279"/>
  <c r="K23" i="279"/>
  <c r="K22" i="279"/>
  <c r="K21" i="279"/>
  <c r="K20" i="279"/>
  <c r="K19" i="279"/>
  <c r="K18" i="279"/>
  <c r="K17" i="279"/>
  <c r="K16" i="279"/>
  <c r="K15" i="279"/>
  <c r="K14" i="279"/>
  <c r="K13" i="279"/>
  <c r="K12" i="279"/>
  <c r="K11" i="279"/>
  <c r="K10" i="279"/>
  <c r="K9" i="279"/>
  <c r="K8" i="279"/>
  <c r="K7" i="279"/>
  <c r="K6" i="279"/>
  <c r="K55" i="276"/>
  <c r="K54" i="276"/>
  <c r="K53" i="276"/>
  <c r="K52" i="276"/>
  <c r="K50" i="276"/>
  <c r="K49" i="276"/>
  <c r="K48" i="276"/>
  <c r="K47" i="276"/>
  <c r="K46" i="276"/>
  <c r="K45" i="276"/>
  <c r="K44" i="276"/>
  <c r="K43" i="276"/>
  <c r="K28" i="276"/>
  <c r="K27" i="276"/>
  <c r="K26" i="276"/>
  <c r="K25" i="276"/>
  <c r="K24" i="276"/>
  <c r="K23" i="276"/>
  <c r="K22" i="276"/>
  <c r="K21" i="276"/>
  <c r="K20" i="276"/>
  <c r="K19" i="276"/>
  <c r="K18" i="276"/>
  <c r="K17" i="276"/>
  <c r="K16" i="276"/>
  <c r="K15" i="276"/>
  <c r="K14" i="276"/>
  <c r="K13" i="276"/>
  <c r="K12" i="276"/>
  <c r="K11" i="276"/>
  <c r="K10" i="276"/>
  <c r="K9" i="276"/>
  <c r="K8" i="276"/>
  <c r="K7" i="276"/>
  <c r="K6" i="276"/>
  <c r="M171" i="235" l="1"/>
  <c r="O126" i="235"/>
  <c r="P126" i="235"/>
  <c r="E17" i="216"/>
  <c r="C48" i="246" l="1"/>
  <c r="D48" i="246"/>
  <c r="E48" i="246"/>
  <c r="F48" i="246"/>
  <c r="G48" i="246"/>
  <c r="H48" i="246"/>
  <c r="I48" i="246"/>
  <c r="J48" i="246"/>
  <c r="K48" i="246"/>
  <c r="L48" i="246"/>
  <c r="M48" i="246"/>
  <c r="N48" i="246"/>
  <c r="O48" i="246"/>
  <c r="C49" i="246"/>
  <c r="D49" i="246"/>
  <c r="E49" i="246"/>
  <c r="F49" i="246"/>
  <c r="G49" i="246"/>
  <c r="H49" i="246"/>
  <c r="I49" i="246"/>
  <c r="J49" i="246"/>
  <c r="K49" i="246"/>
  <c r="L49" i="246"/>
  <c r="M49" i="246"/>
  <c r="N49" i="246"/>
  <c r="O49" i="246"/>
  <c r="C50" i="246"/>
  <c r="D50" i="246"/>
  <c r="E50" i="246"/>
  <c r="F50" i="246"/>
  <c r="G50" i="246"/>
  <c r="H50" i="246"/>
  <c r="I50" i="246"/>
  <c r="J50" i="246"/>
  <c r="K50" i="246"/>
  <c r="L50" i="246"/>
  <c r="M50" i="246"/>
  <c r="N50" i="246"/>
  <c r="O50" i="246"/>
  <c r="C51" i="246"/>
  <c r="D51" i="246"/>
  <c r="E51" i="246"/>
  <c r="F51" i="246"/>
  <c r="G51" i="246"/>
  <c r="H51" i="246"/>
  <c r="I51" i="246"/>
  <c r="J51" i="246"/>
  <c r="K51" i="246"/>
  <c r="L51" i="246"/>
  <c r="M51" i="246"/>
  <c r="N51" i="246"/>
  <c r="O51" i="246"/>
  <c r="D53" i="246"/>
  <c r="E53" i="246"/>
  <c r="F53" i="246"/>
  <c r="G53" i="246"/>
  <c r="H53" i="246"/>
  <c r="I53" i="246"/>
  <c r="J53" i="246"/>
  <c r="K53" i="246"/>
  <c r="L53" i="246"/>
  <c r="M53" i="246"/>
  <c r="N53" i="246"/>
  <c r="O53" i="246"/>
  <c r="C54" i="246"/>
  <c r="D54" i="246"/>
  <c r="E54" i="246"/>
  <c r="F54" i="246"/>
  <c r="G54" i="246"/>
  <c r="H54" i="246"/>
  <c r="I54" i="246"/>
  <c r="J54" i="246"/>
  <c r="K54" i="246"/>
  <c r="L54" i="246"/>
  <c r="M54" i="246"/>
  <c r="N54" i="246"/>
  <c r="O54" i="246"/>
  <c r="C55" i="246"/>
  <c r="D55" i="246"/>
  <c r="E55" i="246"/>
  <c r="F55" i="246"/>
  <c r="G55" i="246"/>
  <c r="H55" i="246"/>
  <c r="I55" i="246"/>
  <c r="J55" i="246"/>
  <c r="K55" i="246"/>
  <c r="L55" i="246"/>
  <c r="M55" i="246"/>
  <c r="N55" i="246"/>
  <c r="O55"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D47" i="246"/>
  <c r="E47" i="246"/>
  <c r="F47" i="246"/>
  <c r="G47" i="246"/>
  <c r="H47" i="246"/>
  <c r="I47" i="246"/>
  <c r="J47" i="246"/>
  <c r="K47" i="246"/>
  <c r="L47" i="246"/>
  <c r="M47" i="246"/>
  <c r="N47" i="246"/>
  <c r="O47" i="246"/>
  <c r="C47" i="246"/>
  <c r="C26" i="246"/>
  <c r="C27" i="246"/>
  <c r="D27" i="246"/>
  <c r="E27" i="246"/>
  <c r="F27" i="246"/>
  <c r="G27" i="246"/>
  <c r="H27" i="246"/>
  <c r="I27" i="246"/>
  <c r="J27" i="246"/>
  <c r="K27" i="246"/>
  <c r="L27" i="246"/>
  <c r="M27" i="246"/>
  <c r="N27" i="246"/>
  <c r="O27" i="246"/>
  <c r="C28" i="246"/>
  <c r="D28" i="246"/>
  <c r="E28" i="246"/>
  <c r="F28" i="246"/>
  <c r="G28" i="246"/>
  <c r="H28" i="246"/>
  <c r="I28" i="246"/>
  <c r="J28" i="246"/>
  <c r="K28" i="246"/>
  <c r="L28" i="246"/>
  <c r="M28" i="246"/>
  <c r="N28" i="246"/>
  <c r="O28" i="246"/>
  <c r="C29" i="246"/>
  <c r="D29" i="246"/>
  <c r="E29" i="246"/>
  <c r="F29" i="246"/>
  <c r="G29" i="246"/>
  <c r="H29" i="246"/>
  <c r="I29" i="246"/>
  <c r="J29" i="246"/>
  <c r="K29" i="246"/>
  <c r="L29" i="246"/>
  <c r="M29" i="246"/>
  <c r="N29" i="246"/>
  <c r="O29" i="246"/>
  <c r="C30" i="246"/>
  <c r="D30" i="246"/>
  <c r="E30" i="246"/>
  <c r="F30" i="246"/>
  <c r="G30" i="246"/>
  <c r="H30" i="246"/>
  <c r="I30" i="246"/>
  <c r="J30" i="246"/>
  <c r="K30" i="246"/>
  <c r="L30" i="246"/>
  <c r="M30" i="246"/>
  <c r="N30" i="246"/>
  <c r="O30" i="246"/>
  <c r="D32" i="246"/>
  <c r="E32" i="246"/>
  <c r="F32" i="246"/>
  <c r="G32" i="246"/>
  <c r="H32" i="246"/>
  <c r="I32" i="246"/>
  <c r="J32" i="246"/>
  <c r="K32" i="246"/>
  <c r="L32" i="246"/>
  <c r="M32" i="246"/>
  <c r="N32" i="246"/>
  <c r="O32" i="246"/>
  <c r="C33" i="246"/>
  <c r="D33" i="246"/>
  <c r="E33" i="246"/>
  <c r="F33" i="246"/>
  <c r="G33" i="246"/>
  <c r="H33" i="246"/>
  <c r="I33" i="246"/>
  <c r="J33" i="246"/>
  <c r="K33" i="246"/>
  <c r="L33" i="246"/>
  <c r="M33" i="246"/>
  <c r="N33" i="246"/>
  <c r="O33" i="246"/>
  <c r="C34" i="246"/>
  <c r="D34" i="246"/>
  <c r="E34" i="246"/>
  <c r="F34" i="246"/>
  <c r="G34" i="246"/>
  <c r="H34" i="246"/>
  <c r="I34" i="246"/>
  <c r="J34" i="246"/>
  <c r="K34" i="246"/>
  <c r="L34" i="246"/>
  <c r="M34" i="246"/>
  <c r="N34" i="246"/>
  <c r="O34" i="246"/>
  <c r="C35" i="246"/>
  <c r="D35" i="246"/>
  <c r="E35" i="246"/>
  <c r="F35" i="246"/>
  <c r="G35" i="246"/>
  <c r="H35" i="246"/>
  <c r="I35" i="246"/>
  <c r="J35" i="246"/>
  <c r="K35" i="246"/>
  <c r="L35" i="246"/>
  <c r="M35" i="246"/>
  <c r="N35" i="246"/>
  <c r="O35" i="246"/>
  <c r="C36" i="246"/>
  <c r="D36" i="246"/>
  <c r="E36" i="246"/>
  <c r="F36" i="246"/>
  <c r="G36" i="246"/>
  <c r="H36" i="246"/>
  <c r="I36" i="246"/>
  <c r="J36" i="246"/>
  <c r="K36" i="246"/>
  <c r="L36" i="246"/>
  <c r="M36" i="246"/>
  <c r="N36" i="246"/>
  <c r="O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D26" i="246"/>
  <c r="E26" i="246"/>
  <c r="F26" i="246"/>
  <c r="G26" i="246"/>
  <c r="H26" i="246"/>
  <c r="I26" i="246"/>
  <c r="J26" i="246"/>
  <c r="K26" i="246"/>
  <c r="L26" i="246"/>
  <c r="M26" i="246"/>
  <c r="N26" i="246"/>
  <c r="O26"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7" i="246"/>
  <c r="E17" i="246"/>
  <c r="F17" i="246"/>
  <c r="G17" i="246"/>
  <c r="H17" i="246"/>
  <c r="I17" i="246"/>
  <c r="J17" i="246"/>
  <c r="K17" i="246"/>
  <c r="L17" i="246"/>
  <c r="M17" i="246"/>
  <c r="N17" i="246"/>
  <c r="O17" i="246"/>
  <c r="C6" i="246"/>
  <c r="C7" i="246"/>
  <c r="C8" i="246"/>
  <c r="C9" i="246"/>
  <c r="C12" i="246"/>
  <c r="C13" i="246"/>
  <c r="C14" i="246"/>
  <c r="C15" i="246"/>
  <c r="C16" i="246"/>
  <c r="C17" i="246"/>
  <c r="S54" i="279"/>
  <c r="S53" i="279"/>
  <c r="S52" i="279"/>
  <c r="J51" i="279"/>
  <c r="S50" i="279"/>
  <c r="S49" i="279"/>
  <c r="S48" i="279"/>
  <c r="S47" i="279"/>
  <c r="S46" i="279"/>
  <c r="S45" i="279"/>
  <c r="S44" i="279"/>
  <c r="S43" i="279"/>
  <c r="S42" i="279"/>
  <c r="T42" i="279" s="1"/>
  <c r="S41" i="279"/>
  <c r="T41" i="279" s="1"/>
  <c r="S40" i="279"/>
  <c r="T40" i="279" s="1"/>
  <c r="S39" i="279"/>
  <c r="T39" i="279" s="1"/>
  <c r="S38" i="279"/>
  <c r="T38" i="279" s="1"/>
  <c r="S37" i="279"/>
  <c r="T37" i="279" s="1"/>
  <c r="S36" i="279"/>
  <c r="T36" i="279" s="1"/>
  <c r="S35" i="279"/>
  <c r="T35" i="279" s="1"/>
  <c r="S34" i="279"/>
  <c r="T34" i="279" s="1"/>
  <c r="S33" i="279"/>
  <c r="T33" i="279" s="1"/>
  <c r="S32" i="279"/>
  <c r="T32" i="279" s="1"/>
  <c r="S31" i="279"/>
  <c r="T31" i="279" s="1"/>
  <c r="S30" i="279"/>
  <c r="T30" i="279" s="1"/>
  <c r="S28" i="279"/>
  <c r="S27" i="279"/>
  <c r="T26" i="279"/>
  <c r="S26" i="279"/>
  <c r="S25" i="279"/>
  <c r="S24" i="279"/>
  <c r="S23" i="279"/>
  <c r="S22" i="279"/>
  <c r="A22" i="279"/>
  <c r="S21" i="279"/>
  <c r="S20" i="279"/>
  <c r="T19" i="279"/>
  <c r="S19" i="279"/>
  <c r="T18" i="279"/>
  <c r="S18" i="279"/>
  <c r="T17" i="279"/>
  <c r="S17" i="279"/>
  <c r="S16" i="279"/>
  <c r="S15" i="279"/>
  <c r="S14" i="279"/>
  <c r="S13" i="279"/>
  <c r="S12" i="279"/>
  <c r="S11" i="279"/>
  <c r="S10" i="279"/>
  <c r="S9" i="279"/>
  <c r="S8" i="279"/>
  <c r="S7" i="279"/>
  <c r="S6" i="279"/>
  <c r="O39" i="246" l="1"/>
  <c r="N39" i="246"/>
  <c r="J39" i="246"/>
  <c r="F39" i="246"/>
  <c r="C53" i="246"/>
  <c r="K39" i="246"/>
  <c r="G39" i="246"/>
  <c r="M39" i="246"/>
  <c r="I39" i="246"/>
  <c r="E39" i="246"/>
  <c r="P27" i="246"/>
  <c r="P29" i="246"/>
  <c r="P35" i="246"/>
  <c r="P28" i="246"/>
  <c r="X130" i="235"/>
  <c r="X86" i="235"/>
  <c r="X112" i="235"/>
  <c r="X134" i="235"/>
  <c r="X89" i="235"/>
  <c r="E40" i="246"/>
  <c r="X115" i="235"/>
  <c r="X111" i="235"/>
  <c r="X107" i="235"/>
  <c r="X137" i="235"/>
  <c r="X129" i="235"/>
  <c r="X90" i="235"/>
  <c r="X82" i="235"/>
  <c r="J40" i="246"/>
  <c r="X104" i="235"/>
  <c r="X138" i="235"/>
  <c r="X85" i="235"/>
  <c r="X81" i="235"/>
  <c r="I40" i="246"/>
  <c r="X88" i="235"/>
  <c r="X84" i="235"/>
  <c r="X80" i="235"/>
  <c r="X114" i="235"/>
  <c r="X110" i="235"/>
  <c r="X106" i="235"/>
  <c r="X140" i="235"/>
  <c r="X136" i="235"/>
  <c r="X132" i="235"/>
  <c r="X91" i="235"/>
  <c r="X87" i="235"/>
  <c r="X79" i="235"/>
  <c r="P30" i="246"/>
  <c r="L39" i="246"/>
  <c r="H39" i="246"/>
  <c r="X113" i="235"/>
  <c r="X109" i="235"/>
  <c r="X105" i="235"/>
  <c r="X139" i="235"/>
  <c r="X135" i="235"/>
  <c r="X131" i="235"/>
  <c r="N40" i="246"/>
  <c r="P38" i="246"/>
  <c r="F40" i="246"/>
  <c r="P37" i="246"/>
  <c r="D40" i="246"/>
  <c r="M40" i="246"/>
  <c r="L40" i="246"/>
  <c r="H40" i="246"/>
  <c r="D39" i="246"/>
  <c r="P36" i="246"/>
  <c r="O40" i="246"/>
  <c r="K40" i="246"/>
  <c r="G40" i="246"/>
  <c r="P26" i="246"/>
  <c r="C39" i="246"/>
  <c r="J51" i="276"/>
  <c r="S42" i="276"/>
  <c r="S41" i="276"/>
  <c r="S40" i="276"/>
  <c r="S38" i="276"/>
  <c r="S37" i="276"/>
  <c r="S36" i="276"/>
  <c r="S35" i="276"/>
  <c r="S34" i="276"/>
  <c r="S33" i="276"/>
  <c r="S32" i="276"/>
  <c r="S31" i="276"/>
  <c r="S30" i="276"/>
  <c r="T30" i="276" s="1"/>
  <c r="S7" i="276"/>
  <c r="S8" i="276"/>
  <c r="S9" i="276"/>
  <c r="S10" i="276"/>
  <c r="S11" i="276"/>
  <c r="S12" i="276"/>
  <c r="S13" i="276"/>
  <c r="S14" i="276"/>
  <c r="S15" i="276"/>
  <c r="S16" i="276"/>
  <c r="S17" i="276"/>
  <c r="S18" i="276"/>
  <c r="S19" i="276"/>
  <c r="S20" i="276"/>
  <c r="S21" i="276"/>
  <c r="S22" i="276"/>
  <c r="S23" i="276"/>
  <c r="S24" i="276"/>
  <c r="S25" i="276"/>
  <c r="S26" i="276"/>
  <c r="S27" i="276"/>
  <c r="S28" i="276"/>
  <c r="S39" i="276"/>
  <c r="S43" i="276"/>
  <c r="S44" i="276"/>
  <c r="S45" i="276"/>
  <c r="S46" i="276"/>
  <c r="S47" i="276"/>
  <c r="S48" i="276"/>
  <c r="S49" i="276"/>
  <c r="S50" i="276"/>
  <c r="S52" i="276"/>
  <c r="S53" i="276"/>
  <c r="S54" i="276"/>
  <c r="S55" i="276"/>
  <c r="S6" i="276"/>
  <c r="C5" i="246"/>
  <c r="I41" i="246" l="1"/>
  <c r="T36" i="276"/>
  <c r="F41" i="246"/>
  <c r="T33" i="276"/>
  <c r="J41" i="246"/>
  <c r="T37" i="276"/>
  <c r="N41" i="246"/>
  <c r="T41" i="276"/>
  <c r="M41" i="246"/>
  <c r="T40" i="276"/>
  <c r="L41" i="246"/>
  <c r="T39" i="276"/>
  <c r="O41" i="246"/>
  <c r="T42" i="276"/>
  <c r="E41" i="246"/>
  <c r="T32" i="276"/>
  <c r="G41" i="246"/>
  <c r="T34" i="276"/>
  <c r="K41" i="246"/>
  <c r="T38" i="276"/>
  <c r="D41" i="246"/>
  <c r="T31" i="276"/>
  <c r="H41" i="246"/>
  <c r="T35" i="276"/>
  <c r="X133" i="235"/>
  <c r="S51" i="279"/>
  <c r="C11" i="246"/>
  <c r="D79" i="235"/>
  <c r="D77" i="235"/>
  <c r="D81" i="235"/>
  <c r="D80" i="235"/>
  <c r="D78" i="235"/>
  <c r="X78" i="235"/>
  <c r="D82" i="235"/>
  <c r="P39" i="246"/>
  <c r="S42" i="277"/>
  <c r="T42" i="277" s="1"/>
  <c r="S41" i="277"/>
  <c r="T41" i="277" s="1"/>
  <c r="S40" i="277"/>
  <c r="T40" i="277" s="1"/>
  <c r="S39" i="277"/>
  <c r="T39" i="277" s="1"/>
  <c r="S38" i="277"/>
  <c r="T38" i="277" s="1"/>
  <c r="S37" i="277"/>
  <c r="T37" i="277" s="1"/>
  <c r="S36" i="277"/>
  <c r="T36" i="277" s="1"/>
  <c r="S35" i="277"/>
  <c r="T35" i="277" s="1"/>
  <c r="S34" i="277"/>
  <c r="T34" i="277" s="1"/>
  <c r="S33" i="277"/>
  <c r="T33" i="277" s="1"/>
  <c r="S32" i="277"/>
  <c r="T32" i="277" s="1"/>
  <c r="S31" i="277"/>
  <c r="T31" i="277" s="1"/>
  <c r="S30" i="277"/>
  <c r="T30" i="277" s="1"/>
  <c r="J51" i="277"/>
  <c r="S7" i="277"/>
  <c r="S8" i="277"/>
  <c r="S9" i="277"/>
  <c r="S10" i="277"/>
  <c r="S11" i="277"/>
  <c r="S12" i="277"/>
  <c r="S13" i="277"/>
  <c r="S14" i="277"/>
  <c r="S15" i="277"/>
  <c r="S16" i="277"/>
  <c r="S17" i="277"/>
  <c r="S18" i="277"/>
  <c r="S19" i="277"/>
  <c r="S20" i="277"/>
  <c r="S21" i="277"/>
  <c r="S22" i="277"/>
  <c r="S23" i="277"/>
  <c r="S24" i="277"/>
  <c r="S25" i="277"/>
  <c r="S26" i="277"/>
  <c r="S27" i="277"/>
  <c r="S28" i="277"/>
  <c r="S43" i="277"/>
  <c r="S44" i="277"/>
  <c r="S45" i="277"/>
  <c r="S46" i="277"/>
  <c r="S47" i="277"/>
  <c r="S48" i="277"/>
  <c r="S49" i="277"/>
  <c r="S50" i="277"/>
  <c r="S52" i="277"/>
  <c r="S53" i="277"/>
  <c r="S54" i="277"/>
  <c r="S55" i="277"/>
  <c r="S6" i="277"/>
  <c r="X83" i="235" l="1"/>
  <c r="C32" i="246"/>
  <c r="S51" i="276"/>
  <c r="C41" i="246" s="1"/>
  <c r="P41" i="246" s="1"/>
  <c r="P169" i="235"/>
  <c r="D23" i="216"/>
  <c r="E16" i="232" s="1"/>
  <c r="E23" i="216"/>
  <c r="D34" i="216"/>
  <c r="D13" i="216"/>
  <c r="D6" i="216"/>
  <c r="F29" i="235" s="1"/>
  <c r="BS51" i="235"/>
  <c r="BR51" i="235"/>
  <c r="BQ51" i="235"/>
  <c r="BS42" i="235"/>
  <c r="BR42" i="235"/>
  <c r="BQ42" i="235"/>
  <c r="BS36" i="235"/>
  <c r="BR36" i="235"/>
  <c r="BQ36" i="235"/>
  <c r="BS30" i="235"/>
  <c r="BR30" i="235"/>
  <c r="BQ30" i="235"/>
  <c r="D10" i="235"/>
  <c r="P32" i="246" l="1"/>
  <c r="C40" i="246"/>
  <c r="P40" i="246" s="1"/>
  <c r="S51" i="277"/>
  <c r="E54" i="231"/>
  <c r="C16" i="232" s="1"/>
  <c r="D54" i="231"/>
  <c r="B16" i="232" s="1"/>
  <c r="F34" i="235"/>
  <c r="F31" i="235"/>
  <c r="F33" i="235"/>
  <c r="F37" i="235"/>
  <c r="F32" i="235"/>
  <c r="F35" i="235"/>
  <c r="F26" i="235"/>
  <c r="F27" i="235"/>
  <c r="F28" i="235"/>
  <c r="D11" i="235"/>
  <c r="O75" i="231"/>
  <c r="B10" i="242"/>
  <c r="X108" i="235" l="1"/>
  <c r="E34" i="216"/>
  <c r="E35" i="216"/>
  <c r="E14" i="216"/>
  <c r="E15" i="216"/>
  <c r="E16" i="216"/>
  <c r="E18" i="216"/>
  <c r="E19" i="216"/>
  <c r="E20" i="216"/>
  <c r="E21" i="216"/>
  <c r="E22" i="216"/>
  <c r="E24" i="216"/>
  <c r="E25" i="216"/>
  <c r="E26" i="216"/>
  <c r="E27" i="216"/>
  <c r="E28" i="216"/>
  <c r="E29" i="216"/>
  <c r="E30" i="216"/>
  <c r="E31" i="216"/>
  <c r="E32" i="216"/>
  <c r="E33" i="216"/>
  <c r="E13" i="216"/>
  <c r="D14" i="216"/>
  <c r="D15" i="216"/>
  <c r="D16" i="216"/>
  <c r="D17" i="216"/>
  <c r="O54" i="231" s="1"/>
  <c r="P54" i="231" s="1"/>
  <c r="D18" i="216"/>
  <c r="D19" i="216"/>
  <c r="D20" i="216"/>
  <c r="D21" i="216"/>
  <c r="D22" i="216"/>
  <c r="D24" i="216"/>
  <c r="D25" i="216"/>
  <c r="D26" i="216"/>
  <c r="D27" i="216"/>
  <c r="D28" i="216"/>
  <c r="D29" i="216"/>
  <c r="D30" i="216"/>
  <c r="D31" i="216"/>
  <c r="D32" i="216"/>
  <c r="D33" i="216"/>
  <c r="D35" i="216"/>
  <c r="C9" i="275"/>
  <c r="D9" i="275" s="1"/>
  <c r="D2" i="275" s="1"/>
  <c r="C82" i="235"/>
  <c r="C81" i="235"/>
  <c r="C80" i="235"/>
  <c r="C79" i="235"/>
  <c r="C78" i="235"/>
  <c r="C77" i="235"/>
  <c r="C107" i="235"/>
  <c r="C106" i="235"/>
  <c r="C105" i="235"/>
  <c r="C104" i="235"/>
  <c r="C103" i="235"/>
  <c r="C102" i="235"/>
  <c r="C151" i="235"/>
  <c r="C150" i="235"/>
  <c r="C149" i="235"/>
  <c r="C148" i="235"/>
  <c r="C147" i="235"/>
  <c r="C146" i="235"/>
  <c r="C132" i="235"/>
  <c r="C131" i="235"/>
  <c r="C130" i="235"/>
  <c r="C129" i="235"/>
  <c r="C128" i="235"/>
  <c r="C127" i="235"/>
  <c r="Q171" i="235"/>
  <c r="P171" i="235"/>
  <c r="O171" i="235"/>
  <c r="N171" i="235"/>
  <c r="J171" i="235"/>
  <c r="I171" i="235"/>
  <c r="H171" i="235"/>
  <c r="G171" i="235"/>
  <c r="F171" i="235"/>
  <c r="E171" i="235"/>
  <c r="B2" i="275"/>
  <c r="E2" i="275"/>
  <c r="H2" i="275"/>
  <c r="K2" i="275"/>
  <c r="N2" i="275"/>
  <c r="Q2" i="275"/>
  <c r="T2" i="275"/>
  <c r="W2" i="275"/>
  <c r="Z2" i="275"/>
  <c r="AC2" i="275"/>
  <c r="AF2" i="275"/>
  <c r="AI2" i="275"/>
  <c r="AL2" i="275"/>
  <c r="AM2" i="275"/>
  <c r="AN2" i="275"/>
  <c r="AM9" i="275"/>
  <c r="AN9" i="275" s="1"/>
  <c r="AJ9" i="275"/>
  <c r="AK9" i="275" s="1"/>
  <c r="AK2" i="275" s="1"/>
  <c r="AG9" i="275"/>
  <c r="AH9" i="275" s="1"/>
  <c r="AH2" i="275" s="1"/>
  <c r="AE9" i="275"/>
  <c r="AE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I7" i="249"/>
  <c r="C31" i="266"/>
  <c r="C30" i="266"/>
  <c r="C29" i="266"/>
  <c r="O2" i="232"/>
  <c r="L41" i="249"/>
  <c r="L42" i="249" s="1"/>
  <c r="L24" i="249"/>
  <c r="L25" i="249" s="1"/>
  <c r="L7" i="249"/>
  <c r="K41" i="249"/>
  <c r="J41" i="249"/>
  <c r="K24" i="249"/>
  <c r="J24" i="249"/>
  <c r="K7" i="249"/>
  <c r="K8" i="249" s="1"/>
  <c r="K9" i="249" s="1"/>
  <c r="K10" i="249" s="1"/>
  <c r="J7" i="249"/>
  <c r="M30" i="249"/>
  <c r="M47" i="249" s="1"/>
  <c r="M29" i="249"/>
  <c r="M46" i="249" s="1"/>
  <c r="M28" i="249"/>
  <c r="M45" i="249" s="1"/>
  <c r="M27" i="249"/>
  <c r="M44" i="249" s="1"/>
  <c r="N26" i="249"/>
  <c r="N43" i="249" s="1"/>
  <c r="M26" i="249"/>
  <c r="M43" i="249" s="1"/>
  <c r="M25" i="249"/>
  <c r="M42" i="249" s="1"/>
  <c r="N25" i="249"/>
  <c r="N42" i="249" s="1"/>
  <c r="N24" i="249"/>
  <c r="N41" i="249" s="1"/>
  <c r="M24" i="249"/>
  <c r="M41" i="249" s="1"/>
  <c r="P7" i="231"/>
  <c r="P8" i="231"/>
  <c r="P9" i="231"/>
  <c r="P10" i="231"/>
  <c r="P12" i="231"/>
  <c r="P13" i="231"/>
  <c r="P14" i="231"/>
  <c r="P15" i="231"/>
  <c r="P16" i="231"/>
  <c r="P18" i="231"/>
  <c r="L7" i="216"/>
  <c r="BV51" i="235"/>
  <c r="BV42" i="235"/>
  <c r="BF51" i="235"/>
  <c r="BI51" i="235" s="1"/>
  <c r="BF42" i="235"/>
  <c r="BI42" i="235" s="1"/>
  <c r="BF36" i="235"/>
  <c r="BF30" i="235"/>
  <c r="AQ30" i="235"/>
  <c r="AR30" i="235"/>
  <c r="AS30" i="235"/>
  <c r="AQ36" i="235"/>
  <c r="AR36" i="235"/>
  <c r="AS36" i="235"/>
  <c r="AQ42" i="235"/>
  <c r="AR42" i="235"/>
  <c r="AS42" i="235"/>
  <c r="AQ51" i="235"/>
  <c r="AR51" i="235"/>
  <c r="AS51" i="235"/>
  <c r="U57" i="235"/>
  <c r="U51" i="235"/>
  <c r="U42" i="235"/>
  <c r="U36" i="235"/>
  <c r="U30" i="235"/>
  <c r="R57" i="235"/>
  <c r="R51" i="235"/>
  <c r="R42" i="235"/>
  <c r="R36" i="235"/>
  <c r="R30" i="235"/>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8" i="232"/>
  <c r="S67" i="232"/>
  <c r="S66" i="232"/>
  <c r="S65" i="232"/>
  <c r="R15" i="246"/>
  <c r="G27" i="232"/>
  <c r="F27" i="232"/>
  <c r="E20" i="246"/>
  <c r="L20" i="246"/>
  <c r="H20" i="246"/>
  <c r="M18" i="246"/>
  <c r="C20" i="246"/>
  <c r="M20" i="246"/>
  <c r="N20" i="246"/>
  <c r="N18" i="246"/>
  <c r="O20" i="246"/>
  <c r="I18" i="246"/>
  <c r="G18" i="246"/>
  <c r="O18" i="246"/>
  <c r="H18" i="246" l="1"/>
  <c r="L18" i="246"/>
  <c r="J18" i="246"/>
  <c r="C18" i="246"/>
  <c r="F18" i="246"/>
  <c r="E18" i="246"/>
  <c r="D18" i="246"/>
  <c r="K18" i="246"/>
  <c r="AG2" i="275"/>
  <c r="U2" i="275"/>
  <c r="I2" i="275"/>
  <c r="AJ2" i="275"/>
  <c r="X2" i="275"/>
  <c r="L2" i="275"/>
  <c r="BF57" i="235"/>
  <c r="BQ57" i="235"/>
  <c r="BS57" i="235"/>
  <c r="BR57" i="235"/>
  <c r="AA2" i="275"/>
  <c r="O2" i="275"/>
  <c r="R2" i="275"/>
  <c r="F2" i="275"/>
  <c r="I24" i="249"/>
  <c r="I41" i="249" s="1"/>
  <c r="D44" i="231"/>
  <c r="E44" i="231"/>
  <c r="C8" i="242"/>
  <c r="E27" i="232"/>
  <c r="E65" i="231"/>
  <c r="C27" i="232" s="1"/>
  <c r="D65" i="231"/>
  <c r="B27" i="232" s="1"/>
  <c r="D64" i="231"/>
  <c r="E64" i="231"/>
  <c r="E63" i="231"/>
  <c r="D63" i="231"/>
  <c r="D62" i="231"/>
  <c r="E62" i="231"/>
  <c r="D61" i="231"/>
  <c r="E61" i="231"/>
  <c r="E60" i="231"/>
  <c r="D60" i="231"/>
  <c r="E59" i="231"/>
  <c r="D59" i="231"/>
  <c r="E58" i="231"/>
  <c r="D58" i="231"/>
  <c r="E57" i="231"/>
  <c r="D57" i="231"/>
  <c r="B54" i="231" s="1"/>
  <c r="E56" i="231"/>
  <c r="D56" i="231"/>
  <c r="O27" i="231"/>
  <c r="E55" i="231"/>
  <c r="D55" i="231"/>
  <c r="D53" i="231"/>
  <c r="E53" i="231"/>
  <c r="H8" i="242"/>
  <c r="D52" i="231"/>
  <c r="E52" i="231"/>
  <c r="O26" i="231"/>
  <c r="O15" i="231"/>
  <c r="D51" i="231"/>
  <c r="G8" i="242"/>
  <c r="E51" i="231"/>
  <c r="D50" i="231"/>
  <c r="F8" i="242"/>
  <c r="E50" i="231"/>
  <c r="E49" i="231"/>
  <c r="D49" i="231"/>
  <c r="E48" i="231"/>
  <c r="D48" i="231"/>
  <c r="E47" i="231"/>
  <c r="D47" i="231"/>
  <c r="E46" i="231"/>
  <c r="D46" i="231"/>
  <c r="E8" i="242"/>
  <c r="D8" i="242"/>
  <c r="D45" i="231"/>
  <c r="E45" i="231"/>
  <c r="C2" i="275"/>
  <c r="AS57" i="235"/>
  <c r="AR57" i="235"/>
  <c r="AQ57" i="235"/>
  <c r="D19" i="246"/>
  <c r="E19" i="246"/>
  <c r="H19" i="246"/>
  <c r="L19" i="246"/>
  <c r="M19" i="246"/>
  <c r="N19" i="246"/>
  <c r="L8" i="249"/>
  <c r="L26" i="249"/>
  <c r="L43" i="249"/>
  <c r="J19" i="246"/>
  <c r="K19" i="246"/>
  <c r="O19" i="246"/>
  <c r="G19" i="246"/>
  <c r="F19" i="246"/>
  <c r="P11" i="246"/>
  <c r="P6" i="246"/>
  <c r="P7" i="246"/>
  <c r="P9" i="246"/>
  <c r="P8" i="246"/>
  <c r="P16" i="246"/>
  <c r="P17" i="246"/>
  <c r="P5" i="246"/>
  <c r="N146" i="235"/>
  <c r="N147" i="235" s="1"/>
  <c r="M146" i="235"/>
  <c r="M147" i="235" s="1"/>
  <c r="L146" i="235"/>
  <c r="L147" i="235" s="1"/>
  <c r="K146" i="235"/>
  <c r="K147" i="235" s="1"/>
  <c r="I146" i="235"/>
  <c r="F146" i="235"/>
  <c r="F147" i="235" s="1"/>
  <c r="E146" i="235"/>
  <c r="E147" i="235" s="1"/>
  <c r="D146" i="235"/>
  <c r="D147" i="235" s="1"/>
  <c r="J20" i="246"/>
  <c r="F20" i="246"/>
  <c r="G20" i="246"/>
  <c r="K20" i="246"/>
  <c r="D20" i="246"/>
  <c r="I20" i="246"/>
  <c r="P18" i="246" l="1"/>
  <c r="I147" i="235"/>
  <c r="W26" i="235"/>
  <c r="P14" i="246"/>
  <c r="L9" i="249"/>
  <c r="L44" i="249"/>
  <c r="L27" i="249"/>
  <c r="I19" i="246"/>
  <c r="P20" i="246"/>
  <c r="P30" i="235"/>
  <c r="Q30" i="235"/>
  <c r="P36" i="235"/>
  <c r="Q36" i="235"/>
  <c r="P42" i="235"/>
  <c r="Q42" i="235"/>
  <c r="P51" i="235"/>
  <c r="Q51" i="235"/>
  <c r="P57" i="235"/>
  <c r="Q57" i="235"/>
  <c r="L10" i="249" l="1"/>
  <c r="L45" i="249"/>
  <c r="L28" i="249"/>
  <c r="L11" i="249"/>
  <c r="N6"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D6" i="235"/>
  <c r="C165" i="235" s="1"/>
  <c r="C171" i="235" s="1"/>
  <c r="D5" i="235"/>
  <c r="T103" i="235"/>
  <c r="E100" i="235"/>
  <c r="AD51" i="235"/>
  <c r="AC51" i="235"/>
  <c r="AD42" i="235"/>
  <c r="AC42" i="235"/>
  <c r="BE51" i="235"/>
  <c r="BH51" i="235" s="1"/>
  <c r="BE42" i="235"/>
  <c r="BH42" i="235" s="1"/>
  <c r="BE36" i="235"/>
  <c r="BE30" i="235"/>
  <c r="T57" i="235"/>
  <c r="S57" i="235"/>
  <c r="V57" i="235" s="1"/>
  <c r="T51" i="235"/>
  <c r="S51" i="235"/>
  <c r="V51" i="235" s="1"/>
  <c r="T42" i="235"/>
  <c r="S42" i="235"/>
  <c r="V42" i="235" s="1"/>
  <c r="T36" i="235"/>
  <c r="S36" i="235"/>
  <c r="V36" i="235" s="1"/>
  <c r="T30" i="235"/>
  <c r="S30" i="235"/>
  <c r="V30" i="235" s="1"/>
  <c r="BU51" i="235"/>
  <c r="BT51" i="235"/>
  <c r="BU42" i="235"/>
  <c r="BT42" i="235"/>
  <c r="BD51" i="235"/>
  <c r="BG51" i="235" s="1"/>
  <c r="BD42" i="235"/>
  <c r="BG42" i="235" s="1"/>
  <c r="BD36" i="235"/>
  <c r="BD30" i="235"/>
  <c r="W37" i="235"/>
  <c r="X37" i="235" s="1"/>
  <c r="Y37" i="235" s="1"/>
  <c r="W36" i="235"/>
  <c r="W35" i="235"/>
  <c r="W34" i="235"/>
  <c r="X34" i="235" s="1"/>
  <c r="Y34" i="235" s="1"/>
  <c r="W32" i="235"/>
  <c r="W30" i="235"/>
  <c r="W29" i="235"/>
  <c r="W28" i="235"/>
  <c r="W27" i="235"/>
  <c r="X27" i="235" s="1"/>
  <c r="Y27" i="235" s="1"/>
  <c r="X26" i="235"/>
  <c r="Y26" i="235" s="1"/>
  <c r="T68" i="232"/>
  <c r="U68" i="232" s="1"/>
  <c r="R68" i="232"/>
  <c r="U67" i="232"/>
  <c r="R67" i="232"/>
  <c r="T66" i="232"/>
  <c r="U66" i="232" s="1"/>
  <c r="Q66" i="232"/>
  <c r="R66" i="232" s="1"/>
  <c r="T65" i="232"/>
  <c r="U65" i="232" s="1"/>
  <c r="Q65" i="232"/>
  <c r="R65" i="232" s="1"/>
  <c r="J151" i="235"/>
  <c r="J146" i="235" s="1"/>
  <c r="J147" i="235" s="1"/>
  <c r="H151" i="235"/>
  <c r="K6" i="232"/>
  <c r="AD30" i="235"/>
  <c r="AC30" i="235"/>
  <c r="K25" i="249"/>
  <c r="K26" i="249" s="1"/>
  <c r="J25" i="249"/>
  <c r="J26" i="249" s="1"/>
  <c r="B38" i="231"/>
  <c r="B32" i="231"/>
  <c r="B23" i="231"/>
  <c r="B17" i="231"/>
  <c r="R15" i="231"/>
  <c r="S15" i="231"/>
  <c r="U15" i="231"/>
  <c r="B11" i="231"/>
  <c r="B45" i="231"/>
  <c r="B46" i="231"/>
  <c r="C8" i="232"/>
  <c r="B47" i="231"/>
  <c r="B48" i="231"/>
  <c r="C10" i="232"/>
  <c r="B49" i="231"/>
  <c r="B50" i="231"/>
  <c r="C12" i="232"/>
  <c r="B51" i="231"/>
  <c r="B52" i="231"/>
  <c r="C14" i="232"/>
  <c r="B53" i="231"/>
  <c r="B55" i="231"/>
  <c r="C15" i="232"/>
  <c r="B56" i="231"/>
  <c r="C17" i="232"/>
  <c r="C18" i="232"/>
  <c r="B57" i="231"/>
  <c r="B58" i="231"/>
  <c r="B59" i="231"/>
  <c r="C21" i="232"/>
  <c r="B60" i="231"/>
  <c r="B61" i="231"/>
  <c r="C23" i="232"/>
  <c r="BE57" i="235"/>
  <c r="W57" i="235"/>
  <c r="W56" i="235"/>
  <c r="K42" i="249"/>
  <c r="J42" i="249"/>
  <c r="J43"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26" i="235"/>
  <c r="T128" i="235"/>
  <c r="E125" i="235"/>
  <c r="W50" i="235"/>
  <c r="X50" i="235" s="1"/>
  <c r="Y50" i="235" s="1"/>
  <c r="W47" i="235"/>
  <c r="X47" i="235" s="1"/>
  <c r="Y47" i="235" s="1"/>
  <c r="W46" i="235"/>
  <c r="X46" i="235" s="1"/>
  <c r="Y46" i="235" s="1"/>
  <c r="R25" i="231"/>
  <c r="S25" i="231"/>
  <c r="U25" i="231"/>
  <c r="R14" i="231"/>
  <c r="S14" i="231"/>
  <c r="U14" i="231"/>
  <c r="R35" i="231"/>
  <c r="S35" i="231"/>
  <c r="T35" i="231"/>
  <c r="U35" i="231"/>
  <c r="P35" i="231"/>
  <c r="P25" i="231"/>
  <c r="W38" i="235"/>
  <c r="X38" i="235" s="1"/>
  <c r="Y38" i="235" s="1"/>
  <c r="W40" i="235"/>
  <c r="W45" i="235"/>
  <c r="W43" i="235"/>
  <c r="W41" i="235"/>
  <c r="W39" i="235"/>
  <c r="E45" i="235"/>
  <c r="E46" i="235"/>
  <c r="P27" i="231"/>
  <c r="P26" i="231"/>
  <c r="P24" i="231"/>
  <c r="P22" i="231"/>
  <c r="P21" i="231"/>
  <c r="P20" i="231"/>
  <c r="O25" i="231"/>
  <c r="O24" i="231"/>
  <c r="O23" i="231"/>
  <c r="O22" i="231"/>
  <c r="O21" i="231"/>
  <c r="E40" i="235" s="1"/>
  <c r="O20" i="231"/>
  <c r="R27" i="231"/>
  <c r="R26" i="231"/>
  <c r="R24" i="231"/>
  <c r="R22" i="231"/>
  <c r="R21" i="231"/>
  <c r="R20" i="231"/>
  <c r="S27" i="231"/>
  <c r="S26" i="231"/>
  <c r="S24" i="231"/>
  <c r="S21" i="231"/>
  <c r="S22" i="231"/>
  <c r="S20" i="231"/>
  <c r="U24" i="231"/>
  <c r="U22" i="231"/>
  <c r="U21" i="231"/>
  <c r="U20" i="231"/>
  <c r="O42" i="231"/>
  <c r="V76" i="235"/>
  <c r="M13" i="231"/>
  <c r="M12" i="231"/>
  <c r="M11" i="231"/>
  <c r="M10" i="231"/>
  <c r="E21" i="231" s="1"/>
  <c r="E6" i="216"/>
  <c r="C7" i="249" s="1"/>
  <c r="J8" i="249"/>
  <c r="P43" i="231"/>
  <c r="I8" i="249"/>
  <c r="D13" i="249"/>
  <c r="D30" i="249" s="1"/>
  <c r="D12" i="249"/>
  <c r="D29" i="249" s="1"/>
  <c r="D11" i="249"/>
  <c r="D28" i="249" s="1"/>
  <c r="D10" i="249"/>
  <c r="D9" i="249"/>
  <c r="D8" i="249"/>
  <c r="D7" i="249"/>
  <c r="D41" i="249" s="1"/>
  <c r="O70" i="231"/>
  <c r="P70" i="231" s="1"/>
  <c r="O69" i="231"/>
  <c r="P69" i="231" s="1"/>
  <c r="O68" i="231"/>
  <c r="P68" i="231" s="1"/>
  <c r="O67" i="231"/>
  <c r="P67" i="231" s="1"/>
  <c r="O66" i="231"/>
  <c r="P66" i="231" s="1"/>
  <c r="O65" i="231"/>
  <c r="P65" i="231" s="1"/>
  <c r="O64" i="231"/>
  <c r="P64" i="231" s="1"/>
  <c r="O63" i="231"/>
  <c r="P63" i="231" s="1"/>
  <c r="O62" i="231"/>
  <c r="P62" i="231" s="1"/>
  <c r="O61" i="231"/>
  <c r="O60" i="231"/>
  <c r="O59" i="231"/>
  <c r="P59" i="231" s="1"/>
  <c r="O58" i="231"/>
  <c r="P58" i="231" s="1"/>
  <c r="O57" i="231"/>
  <c r="P57" i="231" s="1"/>
  <c r="O56" i="231"/>
  <c r="P56" i="231" s="1"/>
  <c r="O55" i="231"/>
  <c r="P55" i="231" s="1"/>
  <c r="O53" i="231"/>
  <c r="O52" i="231"/>
  <c r="P52" i="231" s="1"/>
  <c r="O51" i="231"/>
  <c r="P51" i="231" s="1"/>
  <c r="O50" i="231"/>
  <c r="P50" i="231" s="1"/>
  <c r="B7" i="249"/>
  <c r="B24" i="249" s="1"/>
  <c r="K10" i="232"/>
  <c r="L43" i="232"/>
  <c r="L44" i="232"/>
  <c r="L45" i="232"/>
  <c r="E26" i="232"/>
  <c r="E25" i="232"/>
  <c r="E24" i="232"/>
  <c r="X62" i="235"/>
  <c r="Y62" i="235" s="1"/>
  <c r="R43" i="231"/>
  <c r="C26" i="232"/>
  <c r="B26" i="232"/>
  <c r="C25" i="232"/>
  <c r="B25" i="232"/>
  <c r="C24" i="232"/>
  <c r="B24" i="232"/>
  <c r="D24" i="232" s="1"/>
  <c r="O43" i="231"/>
  <c r="P42" i="231"/>
  <c r="X61" i="235"/>
  <c r="Y61" i="235" s="1"/>
  <c r="U43" i="231"/>
  <c r="U42" i="231"/>
  <c r="K7" i="232"/>
  <c r="L42" i="232"/>
  <c r="L41" i="232"/>
  <c r="L40" i="232"/>
  <c r="L39" i="232"/>
  <c r="L38" i="232"/>
  <c r="L34" i="232"/>
  <c r="L33" i="232"/>
  <c r="L32" i="232"/>
  <c r="L31" i="232"/>
  <c r="L30" i="232"/>
  <c r="L29" i="232"/>
  <c r="L28" i="232"/>
  <c r="L27" i="232"/>
  <c r="L26" i="232"/>
  <c r="F6" i="235"/>
  <c r="O76" i="231"/>
  <c r="K8" i="232"/>
  <c r="K9" i="232"/>
  <c r="K11" i="232"/>
  <c r="K12" i="232"/>
  <c r="K13" i="232"/>
  <c r="K14" i="232"/>
  <c r="K15" i="232"/>
  <c r="K17" i="232"/>
  <c r="K18" i="232"/>
  <c r="P41" i="231"/>
  <c r="P40" i="231"/>
  <c r="P39" i="231"/>
  <c r="P37" i="231"/>
  <c r="P36" i="231"/>
  <c r="P34" i="231"/>
  <c r="P33" i="231"/>
  <c r="P31" i="231"/>
  <c r="P30" i="231"/>
  <c r="P29" i="231"/>
  <c r="P28" i="231"/>
  <c r="B12" i="232"/>
  <c r="D12" i="232" s="1"/>
  <c r="O14" i="231"/>
  <c r="E33" i="235" s="1"/>
  <c r="O11" i="231"/>
  <c r="O17" i="231"/>
  <c r="P19" i="231"/>
  <c r="O41" i="231"/>
  <c r="O40" i="231"/>
  <c r="O39" i="231"/>
  <c r="O38" i="231"/>
  <c r="E57" i="235" s="1"/>
  <c r="O37" i="231"/>
  <c r="O36" i="231"/>
  <c r="O35" i="231"/>
  <c r="O34" i="231"/>
  <c r="O33" i="231"/>
  <c r="O32" i="231"/>
  <c r="O31" i="231"/>
  <c r="O30" i="231"/>
  <c r="O29" i="231"/>
  <c r="O28" i="231"/>
  <c r="O19" i="231"/>
  <c r="O18" i="231"/>
  <c r="O16" i="231"/>
  <c r="O13" i="231"/>
  <c r="E32" i="235" s="1"/>
  <c r="O12" i="231"/>
  <c r="O10" i="231"/>
  <c r="E29" i="235" s="1"/>
  <c r="O9" i="231"/>
  <c r="O8" i="231"/>
  <c r="O7" i="23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22" i="232"/>
  <c r="C20" i="232"/>
  <c r="C13" i="232"/>
  <c r="L126" i="235"/>
  <c r="H126" i="235"/>
  <c r="F126" i="235"/>
  <c r="C101" i="235"/>
  <c r="C7" i="232"/>
  <c r="C19" i="232"/>
  <c r="C9" i="232"/>
  <c r="C11" i="232"/>
  <c r="T78" i="235"/>
  <c r="L8" i="216"/>
  <c r="L9" i="216" s="1"/>
  <c r="L10" i="216" s="1"/>
  <c r="L11" i="216" s="1"/>
  <c r="L12" i="216" s="1"/>
  <c r="M7" i="216"/>
  <c r="D7" i="216" s="1"/>
  <c r="E75" i="235"/>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D10" i="232" s="1"/>
  <c r="E22" i="232"/>
  <c r="E20" i="232"/>
  <c r="E19" i="232"/>
  <c r="E17" i="232"/>
  <c r="E15" i="232"/>
  <c r="E18" i="232"/>
  <c r="E14" i="232"/>
  <c r="E13" i="232"/>
  <c r="E12" i="232"/>
  <c r="E11" i="232"/>
  <c r="E10" i="232"/>
  <c r="E9" i="232"/>
  <c r="E8" i="232"/>
  <c r="E7" i="232"/>
  <c r="E6" i="232"/>
  <c r="C6" i="232"/>
  <c r="B6" i="232"/>
  <c r="W58" i="235"/>
  <c r="X58" i="235" s="1"/>
  <c r="Y58" i="235" s="1"/>
  <c r="W55" i="235"/>
  <c r="W53" i="235"/>
  <c r="X53" i="235" s="1"/>
  <c r="Y53" i="235" s="1"/>
  <c r="W49" i="235"/>
  <c r="X49" i="235" s="1"/>
  <c r="Y49" i="235" s="1"/>
  <c r="W48" i="235"/>
  <c r="F100" i="235" l="1"/>
  <c r="E106" i="235"/>
  <c r="E103" i="235"/>
  <c r="E105" i="235"/>
  <c r="E107" i="235"/>
  <c r="E104" i="235"/>
  <c r="E102" i="235"/>
  <c r="F75" i="235"/>
  <c r="E80" i="235"/>
  <c r="E78" i="235"/>
  <c r="E81" i="235"/>
  <c r="E82" i="235"/>
  <c r="E79" i="235"/>
  <c r="E77" i="235"/>
  <c r="F125" i="235"/>
  <c r="E132" i="235"/>
  <c r="E129" i="235"/>
  <c r="E127" i="235"/>
  <c r="E131" i="235"/>
  <c r="E128" i="235"/>
  <c r="E130" i="235"/>
  <c r="F46" i="235"/>
  <c r="F44" i="235"/>
  <c r="F38" i="235"/>
  <c r="F45" i="235"/>
  <c r="F43" i="235"/>
  <c r="F41" i="235"/>
  <c r="F40" i="235"/>
  <c r="F39" i="235"/>
  <c r="D9" i="235"/>
  <c r="D26" i="231"/>
  <c r="E34" i="235"/>
  <c r="E44" i="235"/>
  <c r="E39" i="235"/>
  <c r="E54" i="235"/>
  <c r="E35" i="235"/>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X29" i="235"/>
  <c r="Y30" i="235"/>
  <c r="Y29" i="235"/>
  <c r="Y57" i="235"/>
  <c r="Y56" i="235"/>
  <c r="X36" i="235"/>
  <c r="AG36" i="235" s="1"/>
  <c r="Y36" i="235"/>
  <c r="Y35" i="235"/>
  <c r="E16" i="231"/>
  <c r="D35" i="235" s="1"/>
  <c r="E34" i="231"/>
  <c r="D53" i="235" s="1"/>
  <c r="E37" i="231"/>
  <c r="D56" i="235" s="1"/>
  <c r="E28" i="231"/>
  <c r="D47" i="235" s="1"/>
  <c r="E8" i="231"/>
  <c r="D27" i="235" s="1"/>
  <c r="E41" i="231"/>
  <c r="D60" i="235" s="1"/>
  <c r="E9" i="231"/>
  <c r="D28" i="235" s="1"/>
  <c r="E39" i="231"/>
  <c r="D58" i="235" s="1"/>
  <c r="I9" i="249"/>
  <c r="I25" i="249"/>
  <c r="L12" i="249"/>
  <c r="L29" i="249"/>
  <c r="L46" i="249"/>
  <c r="E43" i="231"/>
  <c r="D62" i="235" s="1"/>
  <c r="W52" i="235"/>
  <c r="X52" i="235" s="1"/>
  <c r="Y52" i="235" s="1"/>
  <c r="D46" i="249"/>
  <c r="D45" i="249"/>
  <c r="D24" i="249"/>
  <c r="J9" i="249"/>
  <c r="B35" i="249"/>
  <c r="W54" i="235"/>
  <c r="X54" i="235" s="1"/>
  <c r="Y54" i="235" s="1"/>
  <c r="H146" i="235"/>
  <c r="W31" i="235"/>
  <c r="E31" i="235"/>
  <c r="E37" i="235"/>
  <c r="E20" i="231"/>
  <c r="E52" i="235"/>
  <c r="E62" i="235"/>
  <c r="D20" i="231"/>
  <c r="B20" i="231" s="1"/>
  <c r="C39" i="235" s="1"/>
  <c r="X32" i="235"/>
  <c r="Y32" i="235" s="1"/>
  <c r="J27" i="249"/>
  <c r="J28" i="249" s="1"/>
  <c r="X55" i="235"/>
  <c r="Y55" i="235" s="1"/>
  <c r="C76" i="235"/>
  <c r="C126" i="235" s="1"/>
  <c r="X30" i="235"/>
  <c r="AI30" i="235" s="1"/>
  <c r="E31" i="231"/>
  <c r="D50" i="235" s="1"/>
  <c r="O72" i="231"/>
  <c r="E58" i="235"/>
  <c r="B8" i="249"/>
  <c r="B25" i="249" s="1"/>
  <c r="M8" i="216"/>
  <c r="D8" i="216" s="1"/>
  <c r="E30" i="231"/>
  <c r="D49" i="235" s="1"/>
  <c r="D40" i="231"/>
  <c r="B40" i="231" s="1"/>
  <c r="C59" i="235" s="1"/>
  <c r="J44" i="249"/>
  <c r="AK26" i="235"/>
  <c r="D47" i="249"/>
  <c r="E59" i="235"/>
  <c r="E47" i="235"/>
  <c r="D42" i="249"/>
  <c r="D25" i="249"/>
  <c r="E53" i="235"/>
  <c r="D27" i="249"/>
  <c r="D44" i="249"/>
  <c r="D14" i="232"/>
  <c r="E19" i="231"/>
  <c r="D38" i="235" s="1"/>
  <c r="O71" i="231"/>
  <c r="O74" i="231"/>
  <c r="E27" i="231"/>
  <c r="D46" i="235" s="1"/>
  <c r="X35" i="235"/>
  <c r="E43" i="235"/>
  <c r="O73" i="231"/>
  <c r="D25" i="232"/>
  <c r="E7" i="216"/>
  <c r="C8" i="249" s="1"/>
  <c r="C42" i="249" s="1"/>
  <c r="E22" i="231"/>
  <c r="D41" i="235" s="1"/>
  <c r="E42" i="231"/>
  <c r="D61" i="235" s="1"/>
  <c r="D35" i="231"/>
  <c r="B35" i="231" s="1"/>
  <c r="C54" i="235" s="1"/>
  <c r="X43" i="235"/>
  <c r="Y43" i="235" s="1"/>
  <c r="D26" i="232"/>
  <c r="E14" i="231"/>
  <c r="D33" i="235" s="1"/>
  <c r="E41" i="235"/>
  <c r="B2" i="249"/>
  <c r="E15" i="231"/>
  <c r="D34" i="235" s="1"/>
  <c r="E26" i="231"/>
  <c r="D45" i="235" s="1"/>
  <c r="X39" i="235"/>
  <c r="Y39" i="235" s="1"/>
  <c r="E10" i="231"/>
  <c r="D29" i="235" s="1"/>
  <c r="E7" i="231"/>
  <c r="D26" i="235" s="1"/>
  <c r="E24" i="231"/>
  <c r="D43" i="235" s="1"/>
  <c r="X56" i="235"/>
  <c r="X57" i="235"/>
  <c r="AH57" i="235" s="1"/>
  <c r="X28" i="235"/>
  <c r="Y28" i="235" s="1"/>
  <c r="E25" i="231"/>
  <c r="D44" i="235" s="1"/>
  <c r="D13" i="232"/>
  <c r="E40" i="231"/>
  <c r="D59" i="235" s="1"/>
  <c r="X41" i="235"/>
  <c r="Y41" i="235" s="1"/>
  <c r="E42" i="235"/>
  <c r="E35" i="231"/>
  <c r="D54" i="235" s="1"/>
  <c r="D16" i="231"/>
  <c r="B16" i="231" s="1"/>
  <c r="C35" i="235" s="1"/>
  <c r="E30" i="235"/>
  <c r="E26" i="235"/>
  <c r="C24" i="249"/>
  <c r="C41" i="249"/>
  <c r="P53" i="231"/>
  <c r="D34" i="231"/>
  <c r="B34" i="231" s="1"/>
  <c r="C53" i="235" s="1"/>
  <c r="D12" i="231"/>
  <c r="B12" i="231" s="1"/>
  <c r="C31" i="235" s="1"/>
  <c r="D39" i="231"/>
  <c r="B39" i="231" s="1"/>
  <c r="C58" i="235" s="1"/>
  <c r="D15" i="231"/>
  <c r="B15" i="231" s="1"/>
  <c r="C34" i="235" s="1"/>
  <c r="E126" i="235"/>
  <c r="M126" i="235"/>
  <c r="E38" i="235"/>
  <c r="E56" i="235"/>
  <c r="E60" i="235"/>
  <c r="D14" i="231"/>
  <c r="B14" i="231" s="1"/>
  <c r="C33" i="235" s="1"/>
  <c r="D26" i="249"/>
  <c r="D43" i="249"/>
  <c r="D21" i="232"/>
  <c r="E27" i="235"/>
  <c r="E12" i="231"/>
  <c r="D31" i="235" s="1"/>
  <c r="E49" i="235"/>
  <c r="E36" i="235"/>
  <c r="D33" i="231"/>
  <c r="B33" i="231" s="1"/>
  <c r="C52" i="235" s="1"/>
  <c r="D36" i="231"/>
  <c r="B36" i="231" s="1"/>
  <c r="C55" i="235" s="1"/>
  <c r="D41" i="231"/>
  <c r="B41" i="231" s="1"/>
  <c r="C60" i="235" s="1"/>
  <c r="X48" i="235"/>
  <c r="Y48" i="235" s="1"/>
  <c r="I126" i="235"/>
  <c r="E51" i="235"/>
  <c r="D18" i="231"/>
  <c r="B18" i="231" s="1"/>
  <c r="C37" i="235" s="1"/>
  <c r="E13" i="231"/>
  <c r="D32" i="235" s="1"/>
  <c r="E48" i="235"/>
  <c r="E50" i="235"/>
  <c r="E28" i="235"/>
  <c r="E18" i="231"/>
  <c r="D37" i="235" s="1"/>
  <c r="D29" i="231"/>
  <c r="B29" i="231" s="1"/>
  <c r="C48" i="235" s="1"/>
  <c r="E55" i="235"/>
  <c r="AK38" i="235"/>
  <c r="D8" i="231"/>
  <c r="B8" i="231" s="1"/>
  <c r="C27" i="235" s="1"/>
  <c r="D13" i="231"/>
  <c r="B13" i="231" s="1"/>
  <c r="C32" i="235" s="1"/>
  <c r="D37" i="231"/>
  <c r="B37" i="231" s="1"/>
  <c r="C56" i="235" s="1"/>
  <c r="B41" i="249"/>
  <c r="E29" i="231"/>
  <c r="D48" i="235" s="1"/>
  <c r="E33" i="231"/>
  <c r="D52" i="235" s="1"/>
  <c r="E36" i="231"/>
  <c r="D55" i="235" s="1"/>
  <c r="D40" i="235"/>
  <c r="D39" i="235"/>
  <c r="D24" i="231"/>
  <c r="B24" i="231" s="1"/>
  <c r="C43" i="235" s="1"/>
  <c r="E61" i="235"/>
  <c r="K27" i="249"/>
  <c r="X31" i="235"/>
  <c r="Y31" i="235" s="1"/>
  <c r="X45" i="235"/>
  <c r="Y45" i="235" s="1"/>
  <c r="D25" i="231"/>
  <c r="B25" i="231" s="1"/>
  <c r="C44" i="235" s="1"/>
  <c r="K43" i="249"/>
  <c r="X40" i="235"/>
  <c r="Y40" i="235" s="1"/>
  <c r="BD57" i="235"/>
  <c r="AI36" i="235"/>
  <c r="AH36" i="235"/>
  <c r="BG30" i="235"/>
  <c r="BT30" i="235"/>
  <c r="G75" i="235" l="1"/>
  <c r="F77" i="235"/>
  <c r="F81" i="235"/>
  <c r="F79" i="235"/>
  <c r="F82" i="235"/>
  <c r="F78" i="235"/>
  <c r="F80" i="235"/>
  <c r="G125" i="235"/>
  <c r="F128" i="235"/>
  <c r="F130" i="235"/>
  <c r="F132" i="235"/>
  <c r="F127" i="235"/>
  <c r="F129" i="235"/>
  <c r="F131" i="235"/>
  <c r="H100" i="235"/>
  <c r="G100" i="235"/>
  <c r="F103" i="235"/>
  <c r="F105" i="235"/>
  <c r="F107" i="235"/>
  <c r="F102" i="235"/>
  <c r="F104" i="235"/>
  <c r="F106" i="235"/>
  <c r="BC39" i="235"/>
  <c r="BC32" i="235"/>
  <c r="BC35" i="235"/>
  <c r="BC36" i="235"/>
  <c r="BC33" i="235"/>
  <c r="BC37" i="235"/>
  <c r="BC34" i="235"/>
  <c r="BC38" i="235"/>
  <c r="BC31" i="235"/>
  <c r="BB38" i="235"/>
  <c r="BB35" i="235"/>
  <c r="BB31" i="235"/>
  <c r="BB36" i="235"/>
  <c r="BB33" i="235"/>
  <c r="BB37" i="235"/>
  <c r="BB39" i="235"/>
  <c r="BB32" i="235"/>
  <c r="BB34" i="235"/>
  <c r="BA37" i="235"/>
  <c r="BA34" i="235"/>
  <c r="BA33" i="235"/>
  <c r="BA38" i="235"/>
  <c r="BA35" i="235"/>
  <c r="BA31" i="235"/>
  <c r="BA32" i="235"/>
  <c r="BA39" i="235"/>
  <c r="BB28" i="235"/>
  <c r="BB26" i="235"/>
  <c r="BB29" i="235"/>
  <c r="BB27" i="235"/>
  <c r="BC29" i="235"/>
  <c r="BC28" i="235"/>
  <c r="BC26" i="235"/>
  <c r="BC27" i="235"/>
  <c r="BA27" i="235"/>
  <c r="BA26" i="235"/>
  <c r="BA28" i="235"/>
  <c r="BA29" i="235"/>
  <c r="AP42" i="235"/>
  <c r="AN42" i="235"/>
  <c r="B9" i="249"/>
  <c r="F58" i="235"/>
  <c r="F55" i="235"/>
  <c r="F56" i="235"/>
  <c r="F53" i="235"/>
  <c r="F52" i="235"/>
  <c r="F50" i="235"/>
  <c r="F49" i="235"/>
  <c r="F48" i="235"/>
  <c r="F47" i="235"/>
  <c r="AK47" i="235" s="1"/>
  <c r="AX47" i="235" s="1"/>
  <c r="F54" i="235"/>
  <c r="AO42" i="235"/>
  <c r="E8" i="216"/>
  <c r="C9" i="249" s="1"/>
  <c r="D27" i="231"/>
  <c r="B27" i="231" s="1"/>
  <c r="C46" i="235" s="1"/>
  <c r="B26" i="231"/>
  <c r="C45" i="235" s="1"/>
  <c r="D30" i="231"/>
  <c r="B30" i="231" s="1"/>
  <c r="C49" i="235" s="1"/>
  <c r="D7" i="231"/>
  <c r="C26" i="235" s="1"/>
  <c r="D19" i="231"/>
  <c r="B19" i="231" s="1"/>
  <c r="C38" i="235" s="1"/>
  <c r="D22" i="231"/>
  <c r="B22" i="231" s="1"/>
  <c r="C41" i="235" s="1"/>
  <c r="D42" i="231"/>
  <c r="B42" i="231" s="1"/>
  <c r="C61" i="235" s="1"/>
  <c r="BO57" i="235"/>
  <c r="BB51" i="235"/>
  <c r="BO36" i="235"/>
  <c r="BO42" i="235"/>
  <c r="BB42" i="235"/>
  <c r="BO51" i="235"/>
  <c r="BB57" i="235"/>
  <c r="AO57" i="235"/>
  <c r="AO36" i="235"/>
  <c r="AO51" i="235"/>
  <c r="BP42" i="235"/>
  <c r="BP51" i="235"/>
  <c r="BP36" i="235"/>
  <c r="BC42" i="235"/>
  <c r="BC51" i="235"/>
  <c r="BC57" i="235"/>
  <c r="BP57" i="235"/>
  <c r="AP51" i="235"/>
  <c r="AP36" i="235"/>
  <c r="AP57" i="235"/>
  <c r="AN51" i="235"/>
  <c r="AN57" i="235"/>
  <c r="AN36" i="235"/>
  <c r="AH30" i="235"/>
  <c r="BI30" i="235"/>
  <c r="BV30" i="235"/>
  <c r="I42" i="249"/>
  <c r="L13" i="249"/>
  <c r="L47" i="249"/>
  <c r="L30" i="249"/>
  <c r="I10" i="249"/>
  <c r="I26" i="249"/>
  <c r="AX26" i="235"/>
  <c r="J10" i="249"/>
  <c r="AG30" i="235"/>
  <c r="J29" i="249"/>
  <c r="J30" i="249" s="1"/>
  <c r="AI57" i="235"/>
  <c r="J126" i="235"/>
  <c r="AM32" i="235"/>
  <c r="BH30" i="235"/>
  <c r="BU30" i="235"/>
  <c r="H147" i="235"/>
  <c r="W44" i="235" s="1"/>
  <c r="W33" i="235"/>
  <c r="M9" i="216"/>
  <c r="D9" i="216" s="1"/>
  <c r="D31" i="231"/>
  <c r="B31" i="231" s="1"/>
  <c r="C50" i="235" s="1"/>
  <c r="D9" i="231"/>
  <c r="B9" i="231" s="1"/>
  <c r="C28" i="235" s="1"/>
  <c r="D10" i="231"/>
  <c r="B10" i="231" s="1"/>
  <c r="C29" i="235" s="1"/>
  <c r="D21" i="231"/>
  <c r="B21" i="231" s="1"/>
  <c r="C40" i="235" s="1"/>
  <c r="C25" i="249"/>
  <c r="BK26" i="235"/>
  <c r="N126" i="235"/>
  <c r="D28" i="231"/>
  <c r="B28" i="231" s="1"/>
  <c r="C47" i="235" s="1"/>
  <c r="J45" i="249"/>
  <c r="V127" i="235"/>
  <c r="V102" i="235"/>
  <c r="AG57" i="235"/>
  <c r="D43" i="231"/>
  <c r="B43" i="231" s="1"/>
  <c r="C62" i="235" s="1"/>
  <c r="B42" i="249"/>
  <c r="AM43" i="235"/>
  <c r="AP43" i="235" s="1"/>
  <c r="I43" i="235" s="1"/>
  <c r="AS43" i="235" s="1"/>
  <c r="AV43" i="235" s="1"/>
  <c r="BK47" i="235"/>
  <c r="AX38" i="235"/>
  <c r="BK38" i="235"/>
  <c r="AM53" i="235"/>
  <c r="V128" i="235"/>
  <c r="V141" i="235" s="1"/>
  <c r="X141" i="235" s="1"/>
  <c r="K28" i="249"/>
  <c r="G126" i="235"/>
  <c r="E9" i="216"/>
  <c r="C10" i="249" s="1"/>
  <c r="M10" i="216"/>
  <c r="D10" i="216" s="1"/>
  <c r="F60" i="235" s="1"/>
  <c r="AK60" i="235" s="1"/>
  <c r="AX60" i="235" s="1"/>
  <c r="K44" i="249"/>
  <c r="K126" i="235"/>
  <c r="C43" i="249"/>
  <c r="C26" i="249"/>
  <c r="K11" i="249"/>
  <c r="D76" i="235"/>
  <c r="D101" i="235" s="1"/>
  <c r="B43" i="249"/>
  <c r="B26" i="249"/>
  <c r="G107" i="235" l="1"/>
  <c r="G105" i="235"/>
  <c r="G106" i="235"/>
  <c r="G104" i="235"/>
  <c r="G103" i="235"/>
  <c r="G102" i="235"/>
  <c r="H125" i="235"/>
  <c r="G128" i="235"/>
  <c r="G127" i="235"/>
  <c r="G132" i="235"/>
  <c r="G130" i="235"/>
  <c r="G131" i="235"/>
  <c r="G129" i="235"/>
  <c r="I100" i="235"/>
  <c r="H105" i="235"/>
  <c r="H103" i="235"/>
  <c r="H104" i="235"/>
  <c r="H102" i="235"/>
  <c r="H106" i="235"/>
  <c r="H107" i="235"/>
  <c r="G80" i="235"/>
  <c r="G77" i="235"/>
  <c r="G78" i="235"/>
  <c r="G81" i="235"/>
  <c r="G82" i="235"/>
  <c r="G79" i="235"/>
  <c r="H75" i="235"/>
  <c r="D129" i="235"/>
  <c r="D127" i="235"/>
  <c r="BM27" i="235" s="1"/>
  <c r="D130" i="235"/>
  <c r="D131" i="235"/>
  <c r="D132" i="235"/>
  <c r="X128" i="235"/>
  <c r="D128" i="235"/>
  <c r="BM39" i="235" s="1"/>
  <c r="AN43" i="235"/>
  <c r="G43" i="235" s="1"/>
  <c r="AQ43" i="235" s="1"/>
  <c r="AO43" i="235"/>
  <c r="H43" i="235" s="1"/>
  <c r="BK60" i="235"/>
  <c r="B10" i="249"/>
  <c r="F59" i="235"/>
  <c r="AK59" i="235" s="1"/>
  <c r="I43" i="249"/>
  <c r="I11" i="249"/>
  <c r="I27" i="249"/>
  <c r="AP32" i="235"/>
  <c r="I32" i="235" s="1"/>
  <c r="AS32" i="235" s="1"/>
  <c r="AV32" i="235" s="1"/>
  <c r="AO32" i="235"/>
  <c r="K29" i="235"/>
  <c r="BE29" i="235" s="1"/>
  <c r="BH29" i="235" s="1"/>
  <c r="L29" i="235"/>
  <c r="BF29" i="235" s="1"/>
  <c r="BI29" i="235" s="1"/>
  <c r="L34" i="235"/>
  <c r="BF34" i="235" s="1"/>
  <c r="BI34" i="235" s="1"/>
  <c r="K34" i="235"/>
  <c r="BE34" i="235" s="1"/>
  <c r="BH34" i="235" s="1"/>
  <c r="K35" i="235"/>
  <c r="BE35" i="235" s="1"/>
  <c r="BH35" i="235" s="1"/>
  <c r="L35" i="235"/>
  <c r="BF35" i="235" s="1"/>
  <c r="BI35" i="235" s="1"/>
  <c r="AP53" i="235"/>
  <c r="I53" i="235" s="1"/>
  <c r="AS53" i="235" s="1"/>
  <c r="AV53" i="235" s="1"/>
  <c r="AN53" i="235"/>
  <c r="G53" i="235" s="1"/>
  <c r="AO53" i="235"/>
  <c r="H53" i="235" s="1"/>
  <c r="J11" i="249"/>
  <c r="X33" i="235"/>
  <c r="Y33" i="235" s="1"/>
  <c r="X44" i="235"/>
  <c r="Y44" i="235" s="1"/>
  <c r="AZ44" i="235"/>
  <c r="AZ54" i="235"/>
  <c r="J46" i="249"/>
  <c r="G83" i="235"/>
  <c r="AZ43" i="235"/>
  <c r="AM40" i="235"/>
  <c r="AZ40" i="235"/>
  <c r="C44" i="249"/>
  <c r="C27" i="249"/>
  <c r="BM48" i="235"/>
  <c r="AZ28" i="235"/>
  <c r="BM40" i="235"/>
  <c r="E83" i="235"/>
  <c r="E98" i="235" a="1"/>
  <c r="E98" i="235" s="1"/>
  <c r="V103" i="235"/>
  <c r="V116" i="235" s="1"/>
  <c r="X116" i="235" s="1"/>
  <c r="K29" i="249"/>
  <c r="AZ53" i="235"/>
  <c r="AZ49" i="235"/>
  <c r="BM28" i="235"/>
  <c r="AZ32" i="235"/>
  <c r="E73" i="235" a="1"/>
  <c r="E73" i="235" s="1"/>
  <c r="D126" i="235"/>
  <c r="E123" i="235" s="1" a="1"/>
  <c r="E123" i="235" s="1"/>
  <c r="K12" i="249"/>
  <c r="M11" i="216"/>
  <c r="D11" i="216" s="1"/>
  <c r="F61" i="235" s="1"/>
  <c r="AK61" i="235" s="1"/>
  <c r="E10" i="216"/>
  <c r="C11" i="249" s="1"/>
  <c r="B11" i="249"/>
  <c r="AM49" i="235"/>
  <c r="BM49" i="235"/>
  <c r="AM28" i="235"/>
  <c r="AM61" i="235"/>
  <c r="AZ62" i="235"/>
  <c r="AZ33" i="235"/>
  <c r="K45" i="249"/>
  <c r="B44" i="249"/>
  <c r="B27" i="249"/>
  <c r="J29" i="235"/>
  <c r="J34" i="235"/>
  <c r="AN32" i="235"/>
  <c r="J35" i="235"/>
  <c r="I75" i="235" l="1"/>
  <c r="H77" i="235"/>
  <c r="AM33" i="235" s="1"/>
  <c r="H78" i="235"/>
  <c r="AM44" i="235" s="1"/>
  <c r="H81" i="235"/>
  <c r="H82" i="235"/>
  <c r="AM54" i="235" s="1"/>
  <c r="H79" i="235"/>
  <c r="AM62" i="235" s="1"/>
  <c r="H80" i="235"/>
  <c r="I125" i="235"/>
  <c r="H130" i="235"/>
  <c r="H128" i="235"/>
  <c r="BM44" i="235" s="1"/>
  <c r="H129" i="235"/>
  <c r="BM62" i="235" s="1"/>
  <c r="H127" i="235"/>
  <c r="H131" i="235"/>
  <c r="H132" i="235"/>
  <c r="BM54" i="235" s="1"/>
  <c r="J100" i="235"/>
  <c r="I103" i="235"/>
  <c r="I102" i="235"/>
  <c r="I105" i="235"/>
  <c r="I107" i="235"/>
  <c r="I106" i="235"/>
  <c r="I104" i="235"/>
  <c r="D104" i="235"/>
  <c r="D102" i="235"/>
  <c r="AZ27" i="235" s="1"/>
  <c r="D105" i="235"/>
  <c r="D106" i="235"/>
  <c r="X103" i="235"/>
  <c r="D107" i="235"/>
  <c r="D103" i="235"/>
  <c r="AZ39" i="235" s="1"/>
  <c r="AP40" i="235"/>
  <c r="I40" i="235" s="1"/>
  <c r="AS40" i="235" s="1"/>
  <c r="AV40" i="235" s="1"/>
  <c r="AN40" i="235"/>
  <c r="G40" i="235" s="1"/>
  <c r="AO40" i="235"/>
  <c r="AP44" i="235"/>
  <c r="I44" i="235" s="1"/>
  <c r="AS44" i="235" s="1"/>
  <c r="AV44" i="235" s="1"/>
  <c r="AO44" i="235"/>
  <c r="AN44" i="235"/>
  <c r="AZ61" i="235"/>
  <c r="BB61" i="235" s="1"/>
  <c r="K61" i="235" s="1"/>
  <c r="BK59" i="235"/>
  <c r="AX59" i="235"/>
  <c r="BK61" i="235"/>
  <c r="AX61" i="235"/>
  <c r="I44" i="249"/>
  <c r="I12" i="249"/>
  <c r="I28" i="249"/>
  <c r="K37" i="235"/>
  <c r="L37" i="235"/>
  <c r="L31" i="235"/>
  <c r="BF31" i="235" s="1"/>
  <c r="BI31" i="235" s="1"/>
  <c r="K31" i="235"/>
  <c r="BE31" i="235" s="1"/>
  <c r="BH31" i="235" s="1"/>
  <c r="AP28" i="235"/>
  <c r="I28" i="235" s="1"/>
  <c r="AS28" i="235" s="1"/>
  <c r="AV28" i="235" s="1"/>
  <c r="AO28" i="235"/>
  <c r="BP49" i="235"/>
  <c r="O49" i="235" s="1"/>
  <c r="BS49" i="235" s="1"/>
  <c r="BO49" i="235"/>
  <c r="AR43" i="235"/>
  <c r="AU43" i="235" s="1"/>
  <c r="AN49" i="235"/>
  <c r="G49" i="235" s="1"/>
  <c r="AQ49" i="235" s="1"/>
  <c r="AO49" i="235"/>
  <c r="H49" i="235" s="1"/>
  <c r="AP49" i="235"/>
  <c r="I49" i="235" s="1"/>
  <c r="AS49" i="235" s="1"/>
  <c r="AV49" i="235" s="1"/>
  <c r="AP54" i="235"/>
  <c r="I54" i="235" s="1"/>
  <c r="AS54" i="235" s="1"/>
  <c r="AV54" i="235" s="1"/>
  <c r="AN54" i="235"/>
  <c r="G54" i="235" s="1"/>
  <c r="AO54" i="235"/>
  <c r="H54" i="235" s="1"/>
  <c r="BC40" i="235"/>
  <c r="L40" i="235" s="1"/>
  <c r="BF40" i="235" s="1"/>
  <c r="BI40" i="235" s="1"/>
  <c r="BB40" i="235"/>
  <c r="K40" i="235" s="1"/>
  <c r="BE40" i="235" s="1"/>
  <c r="BH40" i="235" s="1"/>
  <c r="BP28" i="235"/>
  <c r="O28" i="235" s="1"/>
  <c r="BS28" i="235" s="1"/>
  <c r="BO28" i="235"/>
  <c r="N28" i="235" s="1"/>
  <c r="AN62" i="235"/>
  <c r="G62" i="235" s="1"/>
  <c r="AO62" i="235"/>
  <c r="H62" i="235" s="1"/>
  <c r="AP62" i="235"/>
  <c r="I62" i="235" s="1"/>
  <c r="AS62" i="235" s="1"/>
  <c r="AV62" i="235" s="1"/>
  <c r="BB49" i="235"/>
  <c r="K49" i="235" s="1"/>
  <c r="BE49" i="235" s="1"/>
  <c r="BH49" i="235" s="1"/>
  <c r="BC49" i="235"/>
  <c r="L49" i="235" s="1"/>
  <c r="BF49" i="235" s="1"/>
  <c r="BI49" i="235" s="1"/>
  <c r="BB54" i="235"/>
  <c r="K54" i="235" s="1"/>
  <c r="BE54" i="235" s="1"/>
  <c r="BH54" i="235" s="1"/>
  <c r="BC54" i="235"/>
  <c r="L54" i="235" s="1"/>
  <c r="BF54" i="235" s="1"/>
  <c r="BI54" i="235" s="1"/>
  <c r="BP40" i="235"/>
  <c r="O40" i="235" s="1"/>
  <c r="BS40" i="235" s="1"/>
  <c r="BO40" i="235"/>
  <c r="N40" i="235" s="1"/>
  <c r="BR40" i="235" s="1"/>
  <c r="BP27" i="235"/>
  <c r="O27" i="235" s="1"/>
  <c r="BS27" i="235" s="1"/>
  <c r="BO27" i="235"/>
  <c r="N27" i="235" s="1"/>
  <c r="BB43" i="235"/>
  <c r="K43" i="235" s="1"/>
  <c r="BE43" i="235" s="1"/>
  <c r="BH43" i="235" s="1"/>
  <c r="BC43" i="235"/>
  <c r="L43" i="235" s="1"/>
  <c r="BF43" i="235" s="1"/>
  <c r="BI43" i="235" s="1"/>
  <c r="BC44" i="235"/>
  <c r="L44" i="235" s="1"/>
  <c r="BF44" i="235" s="1"/>
  <c r="BI44" i="235" s="1"/>
  <c r="BB44" i="235"/>
  <c r="K44" i="235" s="1"/>
  <c r="BE44" i="235" s="1"/>
  <c r="BH44" i="235" s="1"/>
  <c r="BB53" i="235"/>
  <c r="K53" i="235" s="1"/>
  <c r="BE53" i="235" s="1"/>
  <c r="BH53" i="235" s="1"/>
  <c r="BC53" i="235"/>
  <c r="L53" i="235" s="1"/>
  <c r="BF53" i="235" s="1"/>
  <c r="BI53" i="235" s="1"/>
  <c r="AQ53" i="235"/>
  <c r="AT53" i="235" s="1"/>
  <c r="K28" i="235"/>
  <c r="L28" i="235"/>
  <c r="L33" i="235"/>
  <c r="K33" i="235"/>
  <c r="BP48" i="235"/>
  <c r="O48" i="235" s="1"/>
  <c r="BS48" i="235" s="1"/>
  <c r="BO48" i="235"/>
  <c r="N48" i="235" s="1"/>
  <c r="BB62" i="235"/>
  <c r="K62" i="235" s="1"/>
  <c r="BC62" i="235"/>
  <c r="L62" i="235" s="1"/>
  <c r="AN61" i="235"/>
  <c r="G61" i="235" s="1"/>
  <c r="AO61" i="235"/>
  <c r="H61" i="235" s="1"/>
  <c r="AP61" i="235"/>
  <c r="I61" i="235" s="1"/>
  <c r="AS61" i="235" s="1"/>
  <c r="AV61" i="235" s="1"/>
  <c r="BP39" i="235"/>
  <c r="O39" i="235" s="1"/>
  <c r="BS39" i="235" s="1"/>
  <c r="BO39" i="235"/>
  <c r="N39" i="235" s="1"/>
  <c r="BR39" i="235" s="1"/>
  <c r="AR53" i="235"/>
  <c r="AU53" i="235" s="1"/>
  <c r="L32" i="235"/>
  <c r="K32" i="235"/>
  <c r="AO33" i="235"/>
  <c r="H33" i="235" s="1"/>
  <c r="AP33" i="235"/>
  <c r="I33" i="235" s="1"/>
  <c r="AS33" i="235" s="1"/>
  <c r="AV33" i="235" s="1"/>
  <c r="J12" i="249"/>
  <c r="AN33" i="235"/>
  <c r="G33" i="235" s="1"/>
  <c r="AQ33" i="235" s="1"/>
  <c r="BN62" i="235"/>
  <c r="M62" i="235" s="1"/>
  <c r="BA40" i="235"/>
  <c r="J40" i="235" s="1"/>
  <c r="BD40" i="235" s="1"/>
  <c r="BG40" i="235" s="1"/>
  <c r="AG43" i="235"/>
  <c r="BN40" i="235"/>
  <c r="M40" i="235" s="1"/>
  <c r="BQ40" i="235" s="1"/>
  <c r="J37" i="235"/>
  <c r="BN49" i="235"/>
  <c r="M49" i="235" s="1"/>
  <c r="BQ49" i="235" s="1"/>
  <c r="BA44" i="235"/>
  <c r="J47" i="249"/>
  <c r="AT43" i="235"/>
  <c r="G108" i="235"/>
  <c r="BA49" i="235"/>
  <c r="J49" i="235" s="1"/>
  <c r="BD49" i="235" s="1"/>
  <c r="F108" i="235"/>
  <c r="AG53" i="235"/>
  <c r="G133" i="235"/>
  <c r="F133" i="235"/>
  <c r="D133" i="235"/>
  <c r="H108" i="235"/>
  <c r="E108" i="235"/>
  <c r="M12" i="216"/>
  <c r="B12" i="249"/>
  <c r="E11" i="216"/>
  <c r="C12" i="249" s="1"/>
  <c r="AZ48" i="235"/>
  <c r="F83" i="235"/>
  <c r="AZ47" i="235"/>
  <c r="K46" i="249"/>
  <c r="B45" i="249"/>
  <c r="B28" i="249"/>
  <c r="BA53" i="235"/>
  <c r="J53" i="235" s="1"/>
  <c r="K30" i="249"/>
  <c r="BN48" i="235"/>
  <c r="M48" i="235" s="1"/>
  <c r="J31" i="235"/>
  <c r="H83" i="235"/>
  <c r="AZ38" i="235"/>
  <c r="K26" i="235"/>
  <c r="BE26" i="235" s="1"/>
  <c r="K13" i="249"/>
  <c r="BA62" i="235"/>
  <c r="J62" i="235" s="1"/>
  <c r="BD62" i="235" s="1"/>
  <c r="C45" i="249"/>
  <c r="C28" i="249"/>
  <c r="J32" i="235"/>
  <c r="BD32" i="235" s="1"/>
  <c r="BD29" i="235"/>
  <c r="AH29" i="235"/>
  <c r="BN28" i="235"/>
  <c r="M28" i="235" s="1"/>
  <c r="BD35" i="235"/>
  <c r="AH35" i="235"/>
  <c r="G32" i="235"/>
  <c r="AQ32" i="235" s="1"/>
  <c r="BD34" i="235"/>
  <c r="AH34" i="235"/>
  <c r="J28" i="235"/>
  <c r="BD28" i="235" s="1"/>
  <c r="AN28" i="235"/>
  <c r="H32" i="235"/>
  <c r="G12" i="249"/>
  <c r="BM33" i="235" l="1"/>
  <c r="H133" i="235"/>
  <c r="J125" i="235"/>
  <c r="I128" i="235"/>
  <c r="BM38" i="235" s="1"/>
  <c r="I132" i="235"/>
  <c r="BM47" i="235" s="1"/>
  <c r="I127" i="235"/>
  <c r="I130" i="235"/>
  <c r="I129" i="235"/>
  <c r="I131" i="235"/>
  <c r="K100" i="235"/>
  <c r="J104" i="235"/>
  <c r="J106" i="235"/>
  <c r="J103" i="235"/>
  <c r="J107" i="235"/>
  <c r="AZ52" i="235" s="1"/>
  <c r="J105" i="235"/>
  <c r="J102" i="235"/>
  <c r="BP62" i="235"/>
  <c r="O62" i="235" s="1"/>
  <c r="BO62" i="235"/>
  <c r="N62" i="235" s="1"/>
  <c r="BN54" i="235"/>
  <c r="M54" i="235" s="1"/>
  <c r="BP54" i="235"/>
  <c r="O54" i="235" s="1"/>
  <c r="BO54" i="235"/>
  <c r="N54" i="235" s="1"/>
  <c r="BP44" i="235"/>
  <c r="O44" i="235" s="1"/>
  <c r="BS44" i="235" s="1"/>
  <c r="BV44" i="235" s="1"/>
  <c r="BO44" i="235"/>
  <c r="N44" i="235" s="1"/>
  <c r="BN44" i="235"/>
  <c r="M44" i="235" s="1"/>
  <c r="J75" i="235"/>
  <c r="I78" i="235"/>
  <c r="AM38" i="235" s="1"/>
  <c r="I77" i="235"/>
  <c r="I79" i="235"/>
  <c r="I82" i="235"/>
  <c r="AM47" i="235" s="1"/>
  <c r="I80" i="235"/>
  <c r="I81" i="235"/>
  <c r="BA61" i="235"/>
  <c r="J61" i="235" s="1"/>
  <c r="BD61" i="235" s="1"/>
  <c r="BG61" i="235" s="1"/>
  <c r="BC61" i="235"/>
  <c r="L61" i="235" s="1"/>
  <c r="BF61" i="235" s="1"/>
  <c r="AQ62" i="235"/>
  <c r="AG62" i="235"/>
  <c r="AQ61" i="235"/>
  <c r="AG61" i="235"/>
  <c r="U44" i="235"/>
  <c r="Q28" i="235"/>
  <c r="BR28" i="235"/>
  <c r="BU28" i="235" s="1"/>
  <c r="Q48" i="235"/>
  <c r="BR48" i="235"/>
  <c r="Q44" i="235"/>
  <c r="BR44" i="235"/>
  <c r="BU44" i="235" s="1"/>
  <c r="Q27" i="235"/>
  <c r="BR27" i="235"/>
  <c r="AI62" i="235"/>
  <c r="BQ62" i="235"/>
  <c r="BT62" i="235" s="1"/>
  <c r="P28" i="235"/>
  <c r="BQ28" i="235"/>
  <c r="BT28" i="235" s="1"/>
  <c r="P48" i="235"/>
  <c r="BQ48" i="235"/>
  <c r="BD37" i="235"/>
  <c r="BG37" i="235" s="1"/>
  <c r="AH37" i="235"/>
  <c r="BF37" i="235"/>
  <c r="BI37" i="235" s="1"/>
  <c r="BF62" i="235"/>
  <c r="BI62" i="235" s="1"/>
  <c r="BF28" i="235"/>
  <c r="BI28" i="235" s="1"/>
  <c r="BF33" i="235"/>
  <c r="BI33" i="235" s="1"/>
  <c r="BF32" i="235"/>
  <c r="BI32" i="235" s="1"/>
  <c r="BE28" i="235"/>
  <c r="BH28" i="235" s="1"/>
  <c r="BE61" i="235"/>
  <c r="BH61" i="235" s="1"/>
  <c r="BE37" i="235"/>
  <c r="BH37" i="235" s="1"/>
  <c r="BE62" i="235"/>
  <c r="BH62" i="235" s="1"/>
  <c r="BE33" i="235"/>
  <c r="BH33" i="235" s="1"/>
  <c r="BE32" i="235"/>
  <c r="BH32" i="235" s="1"/>
  <c r="D12" i="216"/>
  <c r="E12" i="216"/>
  <c r="C13" i="249" s="1"/>
  <c r="I45" i="249"/>
  <c r="I13" i="249"/>
  <c r="I29" i="249"/>
  <c r="AR61" i="235"/>
  <c r="AU61" i="235" s="1"/>
  <c r="AQ54" i="235"/>
  <c r="AT54" i="235" s="1"/>
  <c r="K39" i="235"/>
  <c r="BE39" i="235" s="1"/>
  <c r="BH39" i="235" s="1"/>
  <c r="L39" i="235"/>
  <c r="BF39" i="235" s="1"/>
  <c r="BI39" i="235" s="1"/>
  <c r="U28" i="235"/>
  <c r="BV28" i="235"/>
  <c r="R28" i="235"/>
  <c r="L27" i="235"/>
  <c r="BF27" i="235" s="1"/>
  <c r="BI27" i="235" s="1"/>
  <c r="AR54" i="235"/>
  <c r="AU54" i="235" s="1"/>
  <c r="BB48" i="235"/>
  <c r="K48" i="235" s="1"/>
  <c r="BE48" i="235" s="1"/>
  <c r="BH48" i="235" s="1"/>
  <c r="BC48" i="235"/>
  <c r="L48" i="235" s="1"/>
  <c r="BF48" i="235" s="1"/>
  <c r="BI48" i="235" s="1"/>
  <c r="U39" i="235"/>
  <c r="R39" i="235"/>
  <c r="BV39" i="235"/>
  <c r="AR62" i="235"/>
  <c r="AU62" i="235" s="1"/>
  <c r="AQ40" i="235"/>
  <c r="AT40" i="235" s="1"/>
  <c r="U48" i="235"/>
  <c r="R48" i="235"/>
  <c r="BV48" i="235"/>
  <c r="L26" i="235"/>
  <c r="BF26" i="235" s="1"/>
  <c r="J26" i="235"/>
  <c r="BD26" i="235" s="1"/>
  <c r="BB47" i="235"/>
  <c r="K47" i="235" s="1"/>
  <c r="BE47" i="235" s="1"/>
  <c r="BC47" i="235"/>
  <c r="L47" i="235" s="1"/>
  <c r="BF47" i="235" s="1"/>
  <c r="L38" i="235"/>
  <c r="BF38" i="235" s="1"/>
  <c r="K38" i="235"/>
  <c r="BE38" i="235" s="1"/>
  <c r="AR32" i="235"/>
  <c r="AU32" i="235" s="1"/>
  <c r="AR33" i="235"/>
  <c r="AU33" i="235" s="1"/>
  <c r="AR49" i="235"/>
  <c r="AU49" i="235" s="1"/>
  <c r="R40" i="235"/>
  <c r="U40" i="235"/>
  <c r="BV40" i="235"/>
  <c r="U49" i="235"/>
  <c r="BV49" i="235"/>
  <c r="R49" i="235"/>
  <c r="U27" i="235"/>
  <c r="R27" i="235"/>
  <c r="BV27" i="235"/>
  <c r="J13" i="249"/>
  <c r="T44" i="235"/>
  <c r="BN39" i="235"/>
  <c r="M39" i="235" s="1"/>
  <c r="J33" i="235"/>
  <c r="AI44" i="235"/>
  <c r="Q39" i="235"/>
  <c r="T39" i="235"/>
  <c r="BU39" i="235"/>
  <c r="BT40" i="235"/>
  <c r="S40" i="235"/>
  <c r="P40" i="235"/>
  <c r="N49" i="235"/>
  <c r="BR49" i="235" s="1"/>
  <c r="H40" i="235"/>
  <c r="BA54" i="235"/>
  <c r="J54" i="235" s="1"/>
  <c r="BD54" i="235" s="1"/>
  <c r="BG54" i="235" s="1"/>
  <c r="BA43" i="235"/>
  <c r="J43" i="235" s="1"/>
  <c r="P62" i="235"/>
  <c r="S62" i="235"/>
  <c r="AG49" i="235"/>
  <c r="J44" i="235"/>
  <c r="P49" i="235"/>
  <c r="T40" i="235"/>
  <c r="Q40" i="235"/>
  <c r="S49" i="235"/>
  <c r="AH49" i="235"/>
  <c r="AG54" i="235"/>
  <c r="BT49" i="235"/>
  <c r="AH40" i="235"/>
  <c r="BN27" i="235"/>
  <c r="M27" i="235" s="1"/>
  <c r="BQ27" i="235" s="1"/>
  <c r="AT49" i="235"/>
  <c r="AI40" i="235"/>
  <c r="T48" i="235"/>
  <c r="AH62" i="235"/>
  <c r="BD31" i="235"/>
  <c r="AH31" i="235"/>
  <c r="AI48" i="235"/>
  <c r="S48" i="235"/>
  <c r="I108" i="235"/>
  <c r="D108" i="235"/>
  <c r="AH32" i="235"/>
  <c r="G44" i="235"/>
  <c r="AQ44" i="235" s="1"/>
  <c r="J38" i="235"/>
  <c r="BM61" i="235"/>
  <c r="BP61" i="235" s="1"/>
  <c r="O61" i="235" s="1"/>
  <c r="BS61" i="235" s="1"/>
  <c r="BM53" i="235"/>
  <c r="BM43" i="235"/>
  <c r="BM32" i="235"/>
  <c r="K47" i="249"/>
  <c r="J39" i="235"/>
  <c r="BA48" i="235"/>
  <c r="J48" i="235" s="1"/>
  <c r="C46" i="249"/>
  <c r="C29" i="249"/>
  <c r="BA47" i="235"/>
  <c r="J47" i="235" s="1"/>
  <c r="H44" i="235"/>
  <c r="BD53" i="235"/>
  <c r="AH53" i="235"/>
  <c r="B29" i="249"/>
  <c r="B46" i="249"/>
  <c r="BG29" i="235"/>
  <c r="BG35" i="235"/>
  <c r="H28" i="235"/>
  <c r="AH28" i="235"/>
  <c r="S28" i="235"/>
  <c r="AI28" i="235"/>
  <c r="T27" i="235"/>
  <c r="BG34" i="235"/>
  <c r="AT32" i="235"/>
  <c r="AG32" i="235"/>
  <c r="AG33" i="235"/>
  <c r="AT33" i="235"/>
  <c r="G28" i="235"/>
  <c r="AQ28" i="235" s="1"/>
  <c r="BG49" i="235"/>
  <c r="T28" i="235"/>
  <c r="G24" i="249"/>
  <c r="F13" i="249"/>
  <c r="E29" i="249"/>
  <c r="E13" i="249"/>
  <c r="F29" i="249"/>
  <c r="E12" i="249"/>
  <c r="G29" i="249"/>
  <c r="F12" i="249"/>
  <c r="S44" i="235" l="1"/>
  <c r="P44" i="235"/>
  <c r="BQ44" i="235"/>
  <c r="BT44" i="235" s="1"/>
  <c r="BS54" i="235"/>
  <c r="BV54" i="235" s="1"/>
  <c r="R54" i="235"/>
  <c r="U54" i="235"/>
  <c r="AZ31" i="235"/>
  <c r="J108" i="235"/>
  <c r="BN38" i="235"/>
  <c r="M38" i="235" s="1"/>
  <c r="BO38" i="235"/>
  <c r="N38" i="235" s="1"/>
  <c r="BP38" i="235"/>
  <c r="O38" i="235" s="1"/>
  <c r="AM26" i="235"/>
  <c r="I83" i="235"/>
  <c r="S54" i="235"/>
  <c r="AI54" i="235"/>
  <c r="BQ54" i="235"/>
  <c r="BT54" i="235" s="1"/>
  <c r="P54" i="235"/>
  <c r="K125" i="235"/>
  <c r="J132" i="235"/>
  <c r="BM52" i="235" s="1"/>
  <c r="J127" i="235"/>
  <c r="J129" i="235"/>
  <c r="J131" i="235"/>
  <c r="J128" i="235"/>
  <c r="J130" i="235"/>
  <c r="AO38" i="235"/>
  <c r="H38" i="235" s="1"/>
  <c r="AR38" i="235" s="1"/>
  <c r="AU38" i="235" s="1"/>
  <c r="AP38" i="235"/>
  <c r="I38" i="235" s="1"/>
  <c r="AS38" i="235" s="1"/>
  <c r="AV38" i="235" s="1"/>
  <c r="AN38" i="235"/>
  <c r="G38" i="235" s="1"/>
  <c r="Q62" i="235"/>
  <c r="BR62" i="235"/>
  <c r="BU62" i="235" s="1"/>
  <c r="T62" i="235"/>
  <c r="BB52" i="235"/>
  <c r="K52" i="235" s="1"/>
  <c r="BE52" i="235" s="1"/>
  <c r="BH52" i="235" s="1"/>
  <c r="BA52" i="235"/>
  <c r="J52" i="235" s="1"/>
  <c r="BD52" i="235" s="1"/>
  <c r="BG52" i="235" s="1"/>
  <c r="BC52" i="235"/>
  <c r="L52" i="235" s="1"/>
  <c r="BF52" i="235" s="1"/>
  <c r="BI52" i="235" s="1"/>
  <c r="L100" i="235"/>
  <c r="K103" i="235"/>
  <c r="AZ41" i="235" s="1"/>
  <c r="K102" i="235"/>
  <c r="K107" i="235"/>
  <c r="AZ50" i="235" s="1"/>
  <c r="K105" i="235"/>
  <c r="K106" i="235"/>
  <c r="K104" i="235"/>
  <c r="BM26" i="235"/>
  <c r="I133" i="235"/>
  <c r="R44" i="235"/>
  <c r="AN47" i="235"/>
  <c r="G47" i="235" s="1"/>
  <c r="AQ47" i="235" s="1"/>
  <c r="AT47" i="235" s="1"/>
  <c r="AP47" i="235"/>
  <c r="I47" i="235" s="1"/>
  <c r="AS47" i="235" s="1"/>
  <c r="AV47" i="235" s="1"/>
  <c r="AO47" i="235"/>
  <c r="H47" i="235" s="1"/>
  <c r="K75" i="235"/>
  <c r="J78" i="235"/>
  <c r="J82" i="235"/>
  <c r="AM52" i="235" s="1"/>
  <c r="J77" i="235"/>
  <c r="J80" i="235"/>
  <c r="J81" i="235"/>
  <c r="J79" i="235"/>
  <c r="BR54" i="235"/>
  <c r="BU54" i="235" s="1"/>
  <c r="Q54" i="235"/>
  <c r="T54" i="235"/>
  <c r="BS62" i="235"/>
  <c r="BV62" i="235" s="1"/>
  <c r="U62" i="235"/>
  <c r="R62" i="235"/>
  <c r="BN47" i="235"/>
  <c r="M47" i="235" s="1"/>
  <c r="BP47" i="235"/>
  <c r="O47" i="235" s="1"/>
  <c r="BO47" i="235"/>
  <c r="N47" i="235" s="1"/>
  <c r="BP33" i="235"/>
  <c r="O33" i="235" s="1"/>
  <c r="BO33" i="235"/>
  <c r="N33" i="235" s="1"/>
  <c r="BN33" i="235"/>
  <c r="M33" i="235" s="1"/>
  <c r="AH61" i="235"/>
  <c r="BN61" i="235"/>
  <c r="M61" i="235" s="1"/>
  <c r="BQ61" i="235" s="1"/>
  <c r="BT61" i="235" s="1"/>
  <c r="BO61" i="235"/>
  <c r="N61" i="235" s="1"/>
  <c r="T61" i="235" s="1"/>
  <c r="B13" i="249"/>
  <c r="F62" i="235"/>
  <c r="AK62" i="235" s="1"/>
  <c r="P39" i="235"/>
  <c r="BQ39" i="235"/>
  <c r="BT39" i="235" s="1"/>
  <c r="BI61" i="235"/>
  <c r="BD33" i="235"/>
  <c r="BG33" i="235" s="1"/>
  <c r="BI38" i="235"/>
  <c r="BI47" i="235"/>
  <c r="BI26" i="235"/>
  <c r="I30" i="249"/>
  <c r="I46" i="249"/>
  <c r="AR28" i="235"/>
  <c r="AU28" i="235" s="1"/>
  <c r="AR44" i="235"/>
  <c r="AU44" i="235" s="1"/>
  <c r="BO32" i="235"/>
  <c r="BP32" i="235"/>
  <c r="O32" i="235" s="1"/>
  <c r="BS32" i="235" s="1"/>
  <c r="BO43" i="235"/>
  <c r="N43" i="235" s="1"/>
  <c r="BP43" i="235"/>
  <c r="O43" i="235" s="1"/>
  <c r="BS43" i="235" s="1"/>
  <c r="U61" i="235"/>
  <c r="R61" i="235"/>
  <c r="BV61" i="235"/>
  <c r="BP53" i="235"/>
  <c r="O53" i="235" s="1"/>
  <c r="BS53" i="235" s="1"/>
  <c r="BO53" i="235"/>
  <c r="N53" i="235" s="1"/>
  <c r="AR40" i="235"/>
  <c r="AU40" i="235" s="1"/>
  <c r="AI39" i="235"/>
  <c r="S39" i="235"/>
  <c r="AG40" i="235"/>
  <c r="AH52" i="235"/>
  <c r="AH33" i="235"/>
  <c r="Q49" i="235"/>
  <c r="T49" i="235"/>
  <c r="BU49" i="235"/>
  <c r="AI49" i="235"/>
  <c r="AH54" i="235"/>
  <c r="BD44" i="235"/>
  <c r="BG44" i="235" s="1"/>
  <c r="AH44" i="235"/>
  <c r="BD43" i="235"/>
  <c r="BG43" i="235" s="1"/>
  <c r="AH43" i="235"/>
  <c r="BT27" i="235"/>
  <c r="P27" i="235"/>
  <c r="S27" i="235"/>
  <c r="AI27" i="235"/>
  <c r="BU40" i="235"/>
  <c r="C47" i="249"/>
  <c r="C30" i="249"/>
  <c r="BD47" i="235"/>
  <c r="AH47" i="235"/>
  <c r="BD39" i="235"/>
  <c r="AH39" i="235"/>
  <c r="AT44" i="235"/>
  <c r="AG44" i="235"/>
  <c r="BG32" i="235"/>
  <c r="J27" i="235"/>
  <c r="K27" i="235"/>
  <c r="BE27" i="235" s="1"/>
  <c r="BG62" i="235"/>
  <c r="BD48" i="235"/>
  <c r="AH48" i="235"/>
  <c r="BN43" i="235"/>
  <c r="M43" i="235" s="1"/>
  <c r="AT61" i="235"/>
  <c r="BN53" i="235"/>
  <c r="M53" i="235" s="1"/>
  <c r="BD38" i="235"/>
  <c r="AH38" i="235"/>
  <c r="B47" i="249"/>
  <c r="B30" i="249"/>
  <c r="AT62" i="235"/>
  <c r="BH38" i="235"/>
  <c r="BG53" i="235"/>
  <c r="BH47" i="235"/>
  <c r="E133" i="235"/>
  <c r="BT48" i="235"/>
  <c r="BG31" i="235"/>
  <c r="BU48" i="235"/>
  <c r="BG28" i="235"/>
  <c r="AG28" i="235"/>
  <c r="AT28" i="235"/>
  <c r="BU27" i="235"/>
  <c r="G13" i="249"/>
  <c r="G46" i="249"/>
  <c r="E46" i="249"/>
  <c r="F30" i="249"/>
  <c r="E30" i="249"/>
  <c r="Q33" i="235" l="1"/>
  <c r="BR33" i="235"/>
  <c r="BU33" i="235" s="1"/>
  <c r="T33" i="235"/>
  <c r="BQ47" i="235"/>
  <c r="BT47" i="235" s="1"/>
  <c r="S47" i="235"/>
  <c r="AI47" i="235"/>
  <c r="P47" i="235"/>
  <c r="AZ29" i="235"/>
  <c r="K108" i="235"/>
  <c r="BM31" i="235"/>
  <c r="J133" i="235"/>
  <c r="AP26" i="235"/>
  <c r="I26" i="235" s="1"/>
  <c r="AS26" i="235" s="1"/>
  <c r="AV26" i="235" s="1"/>
  <c r="AO26" i="235"/>
  <c r="H26" i="235" s="1"/>
  <c r="AR26" i="235" s="1"/>
  <c r="AU26" i="235" s="1"/>
  <c r="AN26" i="235"/>
  <c r="G26" i="235" s="1"/>
  <c r="BS33" i="235"/>
  <c r="BV33" i="235" s="1"/>
  <c r="U33" i="235"/>
  <c r="R33" i="235"/>
  <c r="L75" i="235"/>
  <c r="K79" i="235"/>
  <c r="K80" i="235"/>
  <c r="K78" i="235"/>
  <c r="AM41" i="235" s="1"/>
  <c r="K81" i="235"/>
  <c r="K82" i="235"/>
  <c r="AM50" i="235" s="1"/>
  <c r="K77" i="235"/>
  <c r="BC41" i="235"/>
  <c r="L41" i="235" s="1"/>
  <c r="BF41" i="235" s="1"/>
  <c r="BB41" i="235"/>
  <c r="K41" i="235" s="1"/>
  <c r="BE41" i="235" s="1"/>
  <c r="BH41" i="235" s="1"/>
  <c r="BA41" i="235"/>
  <c r="J41" i="235" s="1"/>
  <c r="AQ38" i="235"/>
  <c r="AT38" i="235" s="1"/>
  <c r="AG38" i="235"/>
  <c r="BP52" i="235"/>
  <c r="O52" i="235" s="1"/>
  <c r="BO52" i="235"/>
  <c r="N52" i="235" s="1"/>
  <c r="BN52" i="235"/>
  <c r="M52" i="235" s="1"/>
  <c r="BS38" i="235"/>
  <c r="BV38" i="235" s="1"/>
  <c r="U38" i="235"/>
  <c r="R38" i="235"/>
  <c r="BR47" i="235"/>
  <c r="BU47" i="235" s="1"/>
  <c r="Q47" i="235"/>
  <c r="T47" i="235"/>
  <c r="AM31" i="235"/>
  <c r="J83" i="235"/>
  <c r="AG47" i="235"/>
  <c r="AR47" i="235"/>
  <c r="AU47" i="235" s="1"/>
  <c r="M100" i="235"/>
  <c r="L106" i="235"/>
  <c r="L107" i="235"/>
  <c r="AZ55" i="235" s="1"/>
  <c r="L105" i="235"/>
  <c r="L103" i="235"/>
  <c r="AZ45" i="235" s="1"/>
  <c r="L104" i="235"/>
  <c r="L102" i="235"/>
  <c r="L125" i="235"/>
  <c r="K129" i="235"/>
  <c r="K131" i="235"/>
  <c r="K128" i="235"/>
  <c r="BM41" i="235" s="1"/>
  <c r="K127" i="235"/>
  <c r="K132" i="235"/>
  <c r="BM50" i="235" s="1"/>
  <c r="K130" i="235"/>
  <c r="BR38" i="235"/>
  <c r="BU38" i="235" s="1"/>
  <c r="T38" i="235"/>
  <c r="Q38" i="235"/>
  <c r="P33" i="235"/>
  <c r="BQ33" i="235"/>
  <c r="BT33" i="235" s="1"/>
  <c r="S33" i="235"/>
  <c r="AI33" i="235"/>
  <c r="BS47" i="235"/>
  <c r="BV47" i="235" s="1"/>
  <c r="U47" i="235"/>
  <c r="R47" i="235"/>
  <c r="AO52" i="235"/>
  <c r="H52" i="235" s="1"/>
  <c r="AP52" i="235"/>
  <c r="I52" i="235" s="1"/>
  <c r="AS52" i="235" s="1"/>
  <c r="AV52" i="235" s="1"/>
  <c r="AN52" i="235"/>
  <c r="G52" i="235" s="1"/>
  <c r="AQ52" i="235" s="1"/>
  <c r="AT52" i="235" s="1"/>
  <c r="BP26" i="235"/>
  <c r="O26" i="235" s="1"/>
  <c r="BO26" i="235"/>
  <c r="N26" i="235" s="1"/>
  <c r="BN26" i="235"/>
  <c r="M26" i="235" s="1"/>
  <c r="BB50" i="235"/>
  <c r="K50" i="235" s="1"/>
  <c r="BE50" i="235" s="1"/>
  <c r="BH50" i="235" s="1"/>
  <c r="BA50" i="235"/>
  <c r="J50" i="235" s="1"/>
  <c r="BC50" i="235"/>
  <c r="L50" i="235" s="1"/>
  <c r="BF50" i="235" s="1"/>
  <c r="BQ38" i="235"/>
  <c r="BT38" i="235" s="1"/>
  <c r="AI38" i="235"/>
  <c r="S38" i="235"/>
  <c r="P38" i="235"/>
  <c r="P61" i="235"/>
  <c r="S61" i="235"/>
  <c r="AI61" i="235"/>
  <c r="BR61" i="235"/>
  <c r="Q61" i="235"/>
  <c r="BK62" i="235"/>
  <c r="AX62" i="235"/>
  <c r="Q43" i="235"/>
  <c r="BR43" i="235"/>
  <c r="Q53" i="235"/>
  <c r="BR53" i="235"/>
  <c r="P43" i="235"/>
  <c r="BQ43" i="235"/>
  <c r="P53" i="235"/>
  <c r="BQ53" i="235"/>
  <c r="I47" i="249"/>
  <c r="R53" i="235"/>
  <c r="U53" i="235"/>
  <c r="R43" i="235"/>
  <c r="U43" i="235"/>
  <c r="U32" i="235"/>
  <c r="R32" i="235"/>
  <c r="BH26" i="235"/>
  <c r="AH26" i="235"/>
  <c r="S43" i="235"/>
  <c r="AI43" i="235"/>
  <c r="BG38" i="235"/>
  <c r="BG39" i="235"/>
  <c r="N32" i="235"/>
  <c r="BN32" i="235"/>
  <c r="M32" i="235" s="1"/>
  <c r="BD27" i="235"/>
  <c r="AH27" i="235"/>
  <c r="T53" i="235"/>
  <c r="BG26" i="235"/>
  <c r="BG48" i="235"/>
  <c r="AI53" i="235"/>
  <c r="S53" i="235"/>
  <c r="T43" i="235"/>
  <c r="BH27" i="235"/>
  <c r="BG47" i="235"/>
  <c r="G30" i="249"/>
  <c r="F47" i="249"/>
  <c r="F46" i="249"/>
  <c r="E24" i="249"/>
  <c r="E47" i="249"/>
  <c r="BQ26" i="235" l="1"/>
  <c r="BT26" i="235" s="1"/>
  <c r="S26" i="235"/>
  <c r="P26" i="235"/>
  <c r="AI26" i="235"/>
  <c r="AI52" i="235"/>
  <c r="BQ52" i="235"/>
  <c r="BT52" i="235" s="1"/>
  <c r="P52" i="235"/>
  <c r="S52" i="235"/>
  <c r="AM29" i="235"/>
  <c r="K83" i="235"/>
  <c r="BI50" i="235"/>
  <c r="BR26" i="235"/>
  <c r="BU26" i="235" s="1"/>
  <c r="Q26" i="235"/>
  <c r="T26" i="235"/>
  <c r="AG52" i="235"/>
  <c r="AR52" i="235"/>
  <c r="AU52" i="235" s="1"/>
  <c r="BN50" i="235"/>
  <c r="M50" i="235" s="1"/>
  <c r="BP50" i="235"/>
  <c r="O50" i="235" s="1"/>
  <c r="BO50" i="235"/>
  <c r="N50" i="235" s="1"/>
  <c r="BB45" i="235"/>
  <c r="K45" i="235" s="1"/>
  <c r="BE45" i="235" s="1"/>
  <c r="BH45" i="235" s="1"/>
  <c r="BA45" i="235"/>
  <c r="J45" i="235" s="1"/>
  <c r="BC45" i="235"/>
  <c r="L45" i="235" s="1"/>
  <c r="BF45" i="235" s="1"/>
  <c r="N100" i="235"/>
  <c r="M102" i="235"/>
  <c r="M104" i="235"/>
  <c r="M106" i="235"/>
  <c r="AZ60" i="235" s="1"/>
  <c r="M103" i="235"/>
  <c r="AZ46" i="235" s="1"/>
  <c r="M105" i="235"/>
  <c r="AZ59" i="235" s="1"/>
  <c r="M107" i="235"/>
  <c r="AZ58" i="235" s="1"/>
  <c r="AO31" i="235"/>
  <c r="H31" i="235" s="1"/>
  <c r="AR31" i="235" s="1"/>
  <c r="AU31" i="235" s="1"/>
  <c r="AP31" i="235"/>
  <c r="I31" i="235" s="1"/>
  <c r="AS31" i="235" s="1"/>
  <c r="AV31" i="235" s="1"/>
  <c r="AN31" i="235"/>
  <c r="G31" i="235" s="1"/>
  <c r="Q52" i="235"/>
  <c r="T52" i="235"/>
  <c r="BR52" i="235"/>
  <c r="BU52" i="235" s="1"/>
  <c r="BD41" i="235"/>
  <c r="BG41" i="235" s="1"/>
  <c r="AH41" i="235"/>
  <c r="AP50" i="235"/>
  <c r="I50" i="235" s="1"/>
  <c r="AS50" i="235" s="1"/>
  <c r="AV50" i="235" s="1"/>
  <c r="AN50" i="235"/>
  <c r="G50" i="235" s="1"/>
  <c r="AO50" i="235"/>
  <c r="H50" i="235" s="1"/>
  <c r="AR50" i="235" s="1"/>
  <c r="AU50" i="235" s="1"/>
  <c r="BD50" i="235"/>
  <c r="BG50" i="235" s="1"/>
  <c r="AH50" i="235"/>
  <c r="BS26" i="235"/>
  <c r="U26" i="235"/>
  <c r="R26" i="235"/>
  <c r="BM29" i="235"/>
  <c r="K133" i="235"/>
  <c r="M125" i="235"/>
  <c r="L131" i="235"/>
  <c r="L130" i="235"/>
  <c r="L128" i="235"/>
  <c r="BM45" i="235" s="1"/>
  <c r="L129" i="235"/>
  <c r="L127" i="235"/>
  <c r="L132" i="235"/>
  <c r="BM55" i="235" s="1"/>
  <c r="BS52" i="235"/>
  <c r="BV52" i="235" s="1"/>
  <c r="U52" i="235"/>
  <c r="R52" i="235"/>
  <c r="M75" i="235"/>
  <c r="L80" i="235"/>
  <c r="L77" i="235"/>
  <c r="L81" i="235"/>
  <c r="L78" i="235"/>
  <c r="L79" i="235"/>
  <c r="L82" i="235"/>
  <c r="AQ26" i="235"/>
  <c r="AT26" i="235" s="1"/>
  <c r="AG26" i="235"/>
  <c r="BN31" i="235"/>
  <c r="M31" i="235" s="1"/>
  <c r="BO31" i="235"/>
  <c r="N31" i="235" s="1"/>
  <c r="BP31" i="235"/>
  <c r="O31" i="235" s="1"/>
  <c r="BP41" i="235"/>
  <c r="O41" i="235" s="1"/>
  <c r="BO41" i="235"/>
  <c r="N41" i="235" s="1"/>
  <c r="BN41" i="235"/>
  <c r="M41" i="235" s="1"/>
  <c r="AZ34" i="235"/>
  <c r="L108" i="235"/>
  <c r="BC55" i="235"/>
  <c r="L55" i="235" s="1"/>
  <c r="BF55" i="235" s="1"/>
  <c r="BA55" i="235"/>
  <c r="J55" i="235" s="1"/>
  <c r="BB55" i="235"/>
  <c r="K55" i="235" s="1"/>
  <c r="BE55" i="235" s="1"/>
  <c r="BH55" i="235" s="1"/>
  <c r="BI41" i="235"/>
  <c r="AP41" i="235"/>
  <c r="I41" i="235" s="1"/>
  <c r="AS41" i="235" s="1"/>
  <c r="AV41" i="235" s="1"/>
  <c r="AO41" i="235"/>
  <c r="H41" i="235" s="1"/>
  <c r="AR41" i="235" s="1"/>
  <c r="AU41" i="235" s="1"/>
  <c r="AN41" i="235"/>
  <c r="G41" i="235" s="1"/>
  <c r="BU61" i="235"/>
  <c r="Q32" i="235"/>
  <c r="BR32" i="235"/>
  <c r="P32" i="235"/>
  <c r="BQ32" i="235"/>
  <c r="BV43" i="235"/>
  <c r="BV32" i="235"/>
  <c r="BV53" i="235"/>
  <c r="BU53" i="235"/>
  <c r="S32" i="235"/>
  <c r="AI32" i="235"/>
  <c r="BT43" i="235"/>
  <c r="BU43" i="235"/>
  <c r="T32" i="235"/>
  <c r="BG27" i="235"/>
  <c r="BT53" i="235"/>
  <c r="G47" i="249"/>
  <c r="BD55" i="235" l="1"/>
  <c r="BG55" i="235" s="1"/>
  <c r="AH55" i="235"/>
  <c r="S41" i="235"/>
  <c r="AI41" i="235"/>
  <c r="P41" i="235"/>
  <c r="BQ41" i="235"/>
  <c r="Q31" i="235"/>
  <c r="T31" i="235"/>
  <c r="BR31" i="235"/>
  <c r="BU31" i="235" s="1"/>
  <c r="N125" i="235"/>
  <c r="M132" i="235"/>
  <c r="BM58" i="235" s="1"/>
  <c r="M127" i="235"/>
  <c r="M129" i="235"/>
  <c r="M131" i="235"/>
  <c r="BM60" i="235" s="1"/>
  <c r="M128" i="235"/>
  <c r="BM46" i="235" s="1"/>
  <c r="M130" i="235"/>
  <c r="BM59" i="235" s="1"/>
  <c r="AQ31" i="235"/>
  <c r="AT31" i="235" s="1"/>
  <c r="AG31" i="235"/>
  <c r="BB59" i="235"/>
  <c r="K59" i="235" s="1"/>
  <c r="BE59" i="235" s="1"/>
  <c r="BA59" i="235"/>
  <c r="J59" i="235" s="1"/>
  <c r="BC59" i="235"/>
  <c r="L59" i="235" s="1"/>
  <c r="BF59" i="235" s="1"/>
  <c r="AZ37" i="235"/>
  <c r="M108" i="235"/>
  <c r="BI55" i="235"/>
  <c r="BR41" i="235"/>
  <c r="T41" i="235"/>
  <c r="Q41" i="235"/>
  <c r="BQ31" i="235"/>
  <c r="BT31" i="235" s="1"/>
  <c r="AI31" i="235"/>
  <c r="S31" i="235"/>
  <c r="P31" i="235"/>
  <c r="BO45" i="235"/>
  <c r="N45" i="235" s="1"/>
  <c r="BN45" i="235"/>
  <c r="M45" i="235" s="1"/>
  <c r="BP45" i="235"/>
  <c r="O45" i="235" s="1"/>
  <c r="BV26" i="235"/>
  <c r="AQ50" i="235"/>
  <c r="AT50" i="235" s="1"/>
  <c r="AG50" i="235"/>
  <c r="BB46" i="235"/>
  <c r="K46" i="235" s="1"/>
  <c r="BE46" i="235" s="1"/>
  <c r="BH46" i="235" s="1"/>
  <c r="BC46" i="235"/>
  <c r="L46" i="235" s="1"/>
  <c r="BF46" i="235" s="1"/>
  <c r="BA46" i="235"/>
  <c r="J46" i="235" s="1"/>
  <c r="O100" i="235"/>
  <c r="N102" i="235"/>
  <c r="N104" i="235"/>
  <c r="N106" i="235"/>
  <c r="N103" i="235"/>
  <c r="N107" i="235"/>
  <c r="AZ56" i="235" s="1"/>
  <c r="N105" i="235"/>
  <c r="BR50" i="235"/>
  <c r="T50" i="235"/>
  <c r="Q50" i="235"/>
  <c r="N75" i="235"/>
  <c r="M77" i="235"/>
  <c r="M79" i="235"/>
  <c r="M80" i="235"/>
  <c r="AM59" i="235" s="1"/>
  <c r="M78" i="235"/>
  <c r="AM46" i="235" s="1"/>
  <c r="M81" i="235"/>
  <c r="AM60" i="235" s="1"/>
  <c r="M82" i="235"/>
  <c r="AM58" i="235" s="1"/>
  <c r="BO55" i="235"/>
  <c r="N55" i="235" s="1"/>
  <c r="BN55" i="235"/>
  <c r="M55" i="235" s="1"/>
  <c r="BP55" i="235"/>
  <c r="O55" i="235" s="1"/>
  <c r="BN29" i="235"/>
  <c r="M29" i="235" s="1"/>
  <c r="BP29" i="235"/>
  <c r="O29" i="235" s="1"/>
  <c r="BO29" i="235"/>
  <c r="N29" i="235" s="1"/>
  <c r="BB60" i="235"/>
  <c r="K60" i="235" s="1"/>
  <c r="BE60" i="235" s="1"/>
  <c r="BA60" i="235"/>
  <c r="J60" i="235" s="1"/>
  <c r="BC60" i="235"/>
  <c r="L60" i="235" s="1"/>
  <c r="BF60" i="235" s="1"/>
  <c r="BI45" i="235"/>
  <c r="BS50" i="235"/>
  <c r="R50" i="235"/>
  <c r="U50" i="235"/>
  <c r="BS41" i="235"/>
  <c r="R41" i="235"/>
  <c r="U41" i="235"/>
  <c r="AQ41" i="235"/>
  <c r="AT41" i="235" s="1"/>
  <c r="AG41" i="235"/>
  <c r="BS31" i="235"/>
  <c r="BV31" i="235" s="1"/>
  <c r="R31" i="235"/>
  <c r="U31" i="235"/>
  <c r="BM34" i="235"/>
  <c r="L133" i="235"/>
  <c r="BC58" i="235"/>
  <c r="L58" i="235" s="1"/>
  <c r="BF58" i="235" s="1"/>
  <c r="BI58" i="235" s="1"/>
  <c r="BA58" i="235"/>
  <c r="J58" i="235" s="1"/>
  <c r="BB58" i="235"/>
  <c r="K58" i="235" s="1"/>
  <c r="BE58" i="235" s="1"/>
  <c r="BH58" i="235" s="1"/>
  <c r="BD45" i="235"/>
  <c r="BG45" i="235" s="1"/>
  <c r="AH45" i="235"/>
  <c r="BQ50" i="235"/>
  <c r="AI50" i="235"/>
  <c r="S50" i="235"/>
  <c r="P50" i="235"/>
  <c r="AO29" i="235"/>
  <c r="H29" i="235" s="1"/>
  <c r="AR29" i="235" s="1"/>
  <c r="AU29" i="235" s="1"/>
  <c r="AN29" i="235"/>
  <c r="G29" i="235" s="1"/>
  <c r="AP29" i="235"/>
  <c r="I29" i="235" s="1"/>
  <c r="AS29" i="235" s="1"/>
  <c r="AV29" i="235" s="1"/>
  <c r="BT32" i="235"/>
  <c r="BU32" i="235"/>
  <c r="G27" i="249"/>
  <c r="G28" i="249"/>
  <c r="F27" i="249"/>
  <c r="G25" i="249"/>
  <c r="F28" i="249"/>
  <c r="BV50" i="235" l="1"/>
  <c r="BH60" i="235"/>
  <c r="BS55" i="235"/>
  <c r="U55" i="235"/>
  <c r="R55" i="235"/>
  <c r="AO60" i="235"/>
  <c r="H60" i="235" s="1"/>
  <c r="AR60" i="235" s="1"/>
  <c r="AP60" i="235"/>
  <c r="I60" i="235" s="1"/>
  <c r="AS60" i="235" s="1"/>
  <c r="AN60" i="235"/>
  <c r="G60" i="235" s="1"/>
  <c r="AM37" i="235"/>
  <c r="M83" i="235"/>
  <c r="BU50" i="235"/>
  <c r="BD46" i="235"/>
  <c r="BG46" i="235" s="1"/>
  <c r="AH46" i="235"/>
  <c r="T45" i="235"/>
  <c r="BR45" i="235"/>
  <c r="Q45" i="235"/>
  <c r="BD59" i="235"/>
  <c r="AH59" i="235"/>
  <c r="BN59" i="235"/>
  <c r="M59" i="235" s="1"/>
  <c r="BP59" i="235"/>
  <c r="O59" i="235" s="1"/>
  <c r="BO59" i="235"/>
  <c r="N59" i="235" s="1"/>
  <c r="BM37" i="235"/>
  <c r="M133" i="235"/>
  <c r="BO34" i="235"/>
  <c r="N34" i="235" s="1"/>
  <c r="BN34" i="235"/>
  <c r="M34" i="235" s="1"/>
  <c r="BP34" i="235"/>
  <c r="O34" i="235" s="1"/>
  <c r="BV41" i="235"/>
  <c r="Q29" i="235"/>
  <c r="BR29" i="235"/>
  <c r="T29" i="235"/>
  <c r="BQ55" i="235"/>
  <c r="S55" i="235"/>
  <c r="P55" i="235"/>
  <c r="AI55" i="235"/>
  <c r="AP46" i="235"/>
  <c r="I46" i="235" s="1"/>
  <c r="AS46" i="235" s="1"/>
  <c r="AV46" i="235" s="1"/>
  <c r="AO46" i="235"/>
  <c r="H46" i="235" s="1"/>
  <c r="AR46" i="235" s="1"/>
  <c r="AU46" i="235" s="1"/>
  <c r="AN46" i="235"/>
  <c r="G46" i="235" s="1"/>
  <c r="O75" i="235"/>
  <c r="N79" i="235"/>
  <c r="N82" i="235"/>
  <c r="AM56" i="235" s="1"/>
  <c r="N78" i="235"/>
  <c r="N80" i="235"/>
  <c r="N77" i="235"/>
  <c r="N81" i="235"/>
  <c r="BI46" i="235"/>
  <c r="BH59" i="235"/>
  <c r="BP46" i="235"/>
  <c r="O46" i="235" s="1"/>
  <c r="BN46" i="235"/>
  <c r="M46" i="235" s="1"/>
  <c r="BO46" i="235"/>
  <c r="N46" i="235" s="1"/>
  <c r="BN58" i="235"/>
  <c r="M58" i="235" s="1"/>
  <c r="BP58" i="235"/>
  <c r="O58" i="235" s="1"/>
  <c r="BO58" i="235"/>
  <c r="N58" i="235" s="1"/>
  <c r="AQ29" i="235"/>
  <c r="AT29" i="235" s="1"/>
  <c r="AG29" i="235"/>
  <c r="BT50" i="235"/>
  <c r="BI60" i="235"/>
  <c r="AP59" i="235"/>
  <c r="I59" i="235" s="1"/>
  <c r="AS59" i="235" s="1"/>
  <c r="AN59" i="235"/>
  <c r="G59" i="235" s="1"/>
  <c r="AO59" i="235"/>
  <c r="H59" i="235" s="1"/>
  <c r="AR59" i="235" s="1"/>
  <c r="BB56" i="235"/>
  <c r="K56" i="235" s="1"/>
  <c r="BE56" i="235" s="1"/>
  <c r="BH56" i="235" s="1"/>
  <c r="BA56" i="235"/>
  <c r="J56" i="235" s="1"/>
  <c r="BC56" i="235"/>
  <c r="L56" i="235" s="1"/>
  <c r="BF56" i="235" s="1"/>
  <c r="AZ35" i="235"/>
  <c r="N108" i="235"/>
  <c r="BS45" i="235"/>
  <c r="U45" i="235"/>
  <c r="R45" i="235"/>
  <c r="BO60" i="235"/>
  <c r="N60" i="235" s="1"/>
  <c r="BN60" i="235"/>
  <c r="M60" i="235" s="1"/>
  <c r="BP60" i="235"/>
  <c r="O60" i="235" s="1"/>
  <c r="O125" i="235"/>
  <c r="N128" i="235"/>
  <c r="N130" i="235"/>
  <c r="N132" i="235"/>
  <c r="BM56" i="235" s="1"/>
  <c r="N127" i="235"/>
  <c r="N129" i="235"/>
  <c r="N131" i="235"/>
  <c r="BT41" i="235"/>
  <c r="BD58" i="235"/>
  <c r="BG58" i="235" s="1"/>
  <c r="AH58" i="235"/>
  <c r="BS29" i="235"/>
  <c r="U29" i="235"/>
  <c r="R29" i="235"/>
  <c r="BR55" i="235"/>
  <c r="Q55" i="235"/>
  <c r="T55" i="235"/>
  <c r="BD60" i="235"/>
  <c r="AH60" i="235"/>
  <c r="AI29" i="235"/>
  <c r="P29" i="235"/>
  <c r="BQ29" i="235"/>
  <c r="S29" i="235"/>
  <c r="AO58" i="235"/>
  <c r="H58" i="235" s="1"/>
  <c r="AR58" i="235" s="1"/>
  <c r="AU58" i="235" s="1"/>
  <c r="AN58" i="235"/>
  <c r="G58" i="235" s="1"/>
  <c r="AP58" i="235"/>
  <c r="I58" i="235" s="1"/>
  <c r="AS58" i="235" s="1"/>
  <c r="AV58" i="235" s="1"/>
  <c r="P100" i="235"/>
  <c r="O104" i="235"/>
  <c r="O106" i="235"/>
  <c r="O103" i="235"/>
  <c r="O102" i="235"/>
  <c r="O108" i="235" s="1"/>
  <c r="O107" i="235"/>
  <c r="O105" i="235"/>
  <c r="BQ45" i="235"/>
  <c r="S45" i="235"/>
  <c r="P45" i="235"/>
  <c r="AI45" i="235"/>
  <c r="BU41" i="235"/>
  <c r="BI59" i="235"/>
  <c r="D14" i="235"/>
  <c r="V77" i="235"/>
  <c r="E27" i="249"/>
  <c r="G10" i="249"/>
  <c r="F11" i="249"/>
  <c r="G26" i="249"/>
  <c r="G11" i="249"/>
  <c r="F10" i="249"/>
  <c r="E28" i="249"/>
  <c r="P102" i="235" l="1"/>
  <c r="P106" i="235"/>
  <c r="P103" i="235"/>
  <c r="P105" i="235"/>
  <c r="P107" i="235"/>
  <c r="P104" i="235"/>
  <c r="BU55" i="235"/>
  <c r="T60" i="235"/>
  <c r="Q60" i="235"/>
  <c r="BR60" i="235"/>
  <c r="BR58" i="235"/>
  <c r="BU58" i="235" s="1"/>
  <c r="T58" i="235"/>
  <c r="Q58" i="235"/>
  <c r="AI46" i="235"/>
  <c r="P46" i="235"/>
  <c r="BQ46" i="235"/>
  <c r="S46" i="235"/>
  <c r="AO56" i="235"/>
  <c r="H56" i="235" s="1"/>
  <c r="AR56" i="235" s="1"/>
  <c r="AU56" i="235" s="1"/>
  <c r="AP56" i="235"/>
  <c r="I56" i="235" s="1"/>
  <c r="AS56" i="235" s="1"/>
  <c r="AV56" i="235" s="1"/>
  <c r="AN56" i="235"/>
  <c r="G56" i="235" s="1"/>
  <c r="Q34" i="235"/>
  <c r="BR34" i="235"/>
  <c r="T34" i="235"/>
  <c r="BS59" i="235"/>
  <c r="U59" i="235"/>
  <c r="R59" i="235"/>
  <c r="AQ60" i="235"/>
  <c r="AG60" i="235"/>
  <c r="BT45" i="235"/>
  <c r="BT29" i="235"/>
  <c r="BG60" i="235"/>
  <c r="BM35" i="235"/>
  <c r="N133" i="235"/>
  <c r="P125" i="235"/>
  <c r="O130" i="235"/>
  <c r="O129" i="235"/>
  <c r="O131" i="235"/>
  <c r="O128" i="235"/>
  <c r="O127" i="235"/>
  <c r="O132" i="235"/>
  <c r="AU59" i="235"/>
  <c r="BS58" i="235"/>
  <c r="BV58" i="235" s="1"/>
  <c r="U58" i="235"/>
  <c r="R58" i="235"/>
  <c r="BS46" i="235"/>
  <c r="R46" i="235"/>
  <c r="U46" i="235"/>
  <c r="AM35" i="235"/>
  <c r="N83" i="235"/>
  <c r="BT55" i="235"/>
  <c r="BQ59" i="235"/>
  <c r="P59" i="235"/>
  <c r="S59" i="235"/>
  <c r="AI59" i="235"/>
  <c r="BU45" i="235"/>
  <c r="AV60" i="235"/>
  <c r="BV55" i="235"/>
  <c r="AG58" i="235"/>
  <c r="AQ58" i="235"/>
  <c r="AT58" i="235" s="1"/>
  <c r="BP56" i="235"/>
  <c r="O56" i="235" s="1"/>
  <c r="BO56" i="235"/>
  <c r="N56" i="235" s="1"/>
  <c r="BN56" i="235"/>
  <c r="M56" i="235" s="1"/>
  <c r="BS60" i="235"/>
  <c r="R60" i="235"/>
  <c r="U60" i="235"/>
  <c r="BI56" i="235"/>
  <c r="AQ59" i="235"/>
  <c r="AG59" i="235"/>
  <c r="BQ58" i="235"/>
  <c r="BT58" i="235" s="1"/>
  <c r="AI58" i="235"/>
  <c r="P58" i="235"/>
  <c r="S58" i="235"/>
  <c r="P75" i="235"/>
  <c r="O80" i="235"/>
  <c r="O81" i="235"/>
  <c r="O78" i="235"/>
  <c r="O77" i="235"/>
  <c r="O82" i="235"/>
  <c r="O79" i="235"/>
  <c r="BS34" i="235"/>
  <c r="U34" i="235"/>
  <c r="R34" i="235"/>
  <c r="BO37" i="235"/>
  <c r="N37" i="235" s="1"/>
  <c r="BN37" i="235"/>
  <c r="M37" i="235" s="1"/>
  <c r="BP37" i="235"/>
  <c r="O37" i="235" s="1"/>
  <c r="AU60" i="235"/>
  <c r="BV29" i="235"/>
  <c r="BQ60" i="235"/>
  <c r="S60" i="235"/>
  <c r="P60" i="235"/>
  <c r="AI60" i="235"/>
  <c r="BV45" i="235"/>
  <c r="BD56" i="235"/>
  <c r="BG56" i="235" s="1"/>
  <c r="AH56" i="235"/>
  <c r="AV59" i="235"/>
  <c r="Q46" i="235"/>
  <c r="BR46" i="235"/>
  <c r="T46" i="235"/>
  <c r="AQ46" i="235"/>
  <c r="AT46" i="235" s="1"/>
  <c r="AG46" i="235"/>
  <c r="BU29" i="235"/>
  <c r="BQ34" i="235"/>
  <c r="P34" i="235"/>
  <c r="AI34" i="235"/>
  <c r="S34" i="235"/>
  <c r="BR59" i="235"/>
  <c r="T59" i="235"/>
  <c r="Q59" i="235"/>
  <c r="BG59" i="235"/>
  <c r="AN37" i="235"/>
  <c r="G37" i="235" s="1"/>
  <c r="AP37" i="235"/>
  <c r="I37" i="235" s="1"/>
  <c r="AS37" i="235" s="1"/>
  <c r="AV37" i="235" s="1"/>
  <c r="AO37" i="235"/>
  <c r="H37" i="235" s="1"/>
  <c r="AR37" i="235" s="1"/>
  <c r="AU37" i="235" s="1"/>
  <c r="AM48" i="235"/>
  <c r="AM39" i="235"/>
  <c r="AM27" i="235"/>
  <c r="E42" i="249"/>
  <c r="G44" i="249"/>
  <c r="E45" i="249"/>
  <c r="G42" i="249"/>
  <c r="F42" i="249"/>
  <c r="F44" i="249"/>
  <c r="F45" i="249"/>
  <c r="E11" i="249"/>
  <c r="E44" i="249"/>
  <c r="G45" i="249"/>
  <c r="E10" i="249"/>
  <c r="BR37" i="235" l="1"/>
  <c r="BU37" i="235" s="1"/>
  <c r="Q37" i="235"/>
  <c r="T37" i="235"/>
  <c r="AT59" i="235"/>
  <c r="BV60" i="235"/>
  <c r="BT59" i="235"/>
  <c r="O133" i="235"/>
  <c r="AT60" i="235"/>
  <c r="S56" i="235"/>
  <c r="AI56" i="235"/>
  <c r="P56" i="235"/>
  <c r="BQ56" i="235"/>
  <c r="P127" i="235"/>
  <c r="P131" i="235"/>
  <c r="P128" i="235"/>
  <c r="P130" i="235"/>
  <c r="P132" i="235"/>
  <c r="P129" i="235"/>
  <c r="BU34" i="235"/>
  <c r="BU60" i="235"/>
  <c r="BU59" i="235"/>
  <c r="BT34" i="235"/>
  <c r="BU46" i="235"/>
  <c r="BS37" i="235"/>
  <c r="BV37" i="235" s="1"/>
  <c r="R37" i="235"/>
  <c r="U37" i="235"/>
  <c r="P79" i="235"/>
  <c r="P78" i="235"/>
  <c r="P77" i="235"/>
  <c r="P83" i="235" s="1"/>
  <c r="P82" i="235"/>
  <c r="P81" i="235"/>
  <c r="P80" i="235"/>
  <c r="T56" i="235"/>
  <c r="Q56" i="235"/>
  <c r="BR56" i="235"/>
  <c r="BV46" i="235"/>
  <c r="P108" i="235"/>
  <c r="AQ37" i="235"/>
  <c r="AT37" i="235" s="1"/>
  <c r="AG37" i="235"/>
  <c r="O83" i="235"/>
  <c r="BT60" i="235"/>
  <c r="P37" i="235"/>
  <c r="AI37" i="235"/>
  <c r="BQ37" i="235"/>
  <c r="BT37" i="235" s="1"/>
  <c r="S37" i="235"/>
  <c r="BV34" i="235"/>
  <c r="BS56" i="235"/>
  <c r="R56" i="235"/>
  <c r="U56" i="235"/>
  <c r="AO35" i="235"/>
  <c r="H35" i="235" s="1"/>
  <c r="AR35" i="235" s="1"/>
  <c r="AU35" i="235" s="1"/>
  <c r="AP35" i="235"/>
  <c r="I35" i="235" s="1"/>
  <c r="AS35" i="235" s="1"/>
  <c r="AV35" i="235" s="1"/>
  <c r="AN35" i="235"/>
  <c r="BP35" i="235"/>
  <c r="O35" i="235" s="1"/>
  <c r="BO35" i="235"/>
  <c r="N35" i="235" s="1"/>
  <c r="BN35" i="235"/>
  <c r="M35" i="235" s="1"/>
  <c r="BV59" i="235"/>
  <c r="AQ56" i="235"/>
  <c r="AT56" i="235" s="1"/>
  <c r="AG56" i="235"/>
  <c r="BT46" i="235"/>
  <c r="AO39" i="235"/>
  <c r="AN39" i="235"/>
  <c r="G39" i="235" s="1"/>
  <c r="AQ39" i="235" s="1"/>
  <c r="AP39" i="235"/>
  <c r="I39" i="235" s="1"/>
  <c r="AS39" i="235" s="1"/>
  <c r="AO27" i="235"/>
  <c r="AP27" i="235"/>
  <c r="I27" i="235" s="1"/>
  <c r="AS27" i="235" s="1"/>
  <c r="AP48" i="235"/>
  <c r="I48" i="235" s="1"/>
  <c r="AS48" i="235" s="1"/>
  <c r="AO48" i="235"/>
  <c r="AN48" i="235"/>
  <c r="G48" i="235" s="1"/>
  <c r="AQ48" i="235" s="1"/>
  <c r="D83" i="235"/>
  <c r="H39" i="235"/>
  <c r="AR39" i="235" s="1"/>
  <c r="E43" i="249"/>
  <c r="F43" i="249"/>
  <c r="G43" i="249"/>
  <c r="BQ35" i="235" l="1"/>
  <c r="P35" i="235"/>
  <c r="S35" i="235"/>
  <c r="AI35" i="235"/>
  <c r="BV56" i="235"/>
  <c r="BU56" i="235"/>
  <c r="BT56" i="235"/>
  <c r="Q35" i="235"/>
  <c r="BR35" i="235"/>
  <c r="T35" i="235"/>
  <c r="BS35" i="235"/>
  <c r="R35" i="235"/>
  <c r="U35" i="235"/>
  <c r="P133" i="235"/>
  <c r="G35" i="235"/>
  <c r="AV39" i="235"/>
  <c r="AV48" i="235"/>
  <c r="AV27" i="235"/>
  <c r="H48" i="235"/>
  <c r="AG39" i="235"/>
  <c r="AU39" i="235"/>
  <c r="H27" i="235"/>
  <c r="AR27" i="235" s="1"/>
  <c r="AN27" i="235"/>
  <c r="E41" i="249"/>
  <c r="F41" i="249"/>
  <c r="P41" i="249" s="1"/>
  <c r="G41" i="249"/>
  <c r="BV35" i="235" l="1"/>
  <c r="AQ35" i="235"/>
  <c r="AT35" i="235" s="1"/>
  <c r="AG35" i="235"/>
  <c r="BU35" i="235"/>
  <c r="BT35" i="235"/>
  <c r="AR48" i="235"/>
  <c r="AG48" i="235"/>
  <c r="G27" i="235"/>
  <c r="AQ27" i="235" s="1"/>
  <c r="AT39" i="235"/>
  <c r="AT48" i="235"/>
  <c r="AU27" i="235"/>
  <c r="AU48" i="235" l="1"/>
  <c r="AG27" i="235"/>
  <c r="AT27" i="235" l="1"/>
  <c r="P15" i="246"/>
  <c r="C19" i="246"/>
  <c r="P19" i="246" s="1"/>
  <c r="AM45" i="235" l="1"/>
  <c r="AM34" i="235"/>
  <c r="AM55" i="235"/>
  <c r="AN45" i="235" l="1"/>
  <c r="G45" i="235" s="1"/>
  <c r="AQ45" i="235" s="1"/>
  <c r="AP45" i="235"/>
  <c r="I45" i="235" s="1"/>
  <c r="AS45" i="235" s="1"/>
  <c r="AO45" i="235"/>
  <c r="H45" i="235" s="1"/>
  <c r="AN55" i="235"/>
  <c r="G55" i="235" s="1"/>
  <c r="AQ55" i="235" s="1"/>
  <c r="AO55" i="235"/>
  <c r="AP55" i="235"/>
  <c r="I55" i="235" s="1"/>
  <c r="AS55" i="235" s="1"/>
  <c r="AP34" i="235"/>
  <c r="I34" i="235" s="1"/>
  <c r="AS34" i="235" s="1"/>
  <c r="AO34" i="235"/>
  <c r="AN34" i="235"/>
  <c r="L83" i="235"/>
  <c r="G8" i="249"/>
  <c r="E9" i="249"/>
  <c r="G9" i="249"/>
  <c r="G7" i="249"/>
  <c r="E8" i="249"/>
  <c r="AV45" i="235" l="1"/>
  <c r="AV34" i="235"/>
  <c r="AV55" i="235"/>
  <c r="AR45" i="235"/>
  <c r="AG45" i="235"/>
  <c r="H55" i="235"/>
  <c r="AT45" i="235"/>
  <c r="H34" i="235"/>
  <c r="AR34" i="235" s="1"/>
  <c r="F7" i="249"/>
  <c r="E25" i="249"/>
  <c r="F8" i="249"/>
  <c r="F25" i="249"/>
  <c r="AU45" i="235" l="1"/>
  <c r="AR55" i="235"/>
  <c r="AG55" i="235"/>
  <c r="AT55" i="235"/>
  <c r="G34" i="235"/>
  <c r="AQ34" i="235" s="1"/>
  <c r="AU34" i="235"/>
  <c r="E7" i="249"/>
  <c r="E26" i="249"/>
  <c r="F9" i="249"/>
  <c r="F26" i="249"/>
  <c r="F24" i="249"/>
  <c r="AU55" i="235" l="1"/>
  <c r="AG34" i="235"/>
  <c r="L7" i="232"/>
  <c r="L12" i="232"/>
  <c r="L22" i="232"/>
  <c r="L18" i="232"/>
  <c r="M9" i="232"/>
  <c r="M7" i="232"/>
  <c r="M15" i="232"/>
  <c r="M13" i="232"/>
  <c r="M11" i="232"/>
  <c r="L15" i="232"/>
  <c r="P7" i="249"/>
  <c r="L9" i="232"/>
  <c r="L11" i="232"/>
  <c r="M14" i="232"/>
  <c r="M8" i="232"/>
  <c r="L17" i="232"/>
  <c r="M18" i="232"/>
  <c r="L14" i="232"/>
  <c r="M17" i="232"/>
  <c r="M10" i="232"/>
  <c r="L10" i="232"/>
  <c r="L6" i="232"/>
  <c r="L8" i="232"/>
  <c r="L13" i="232"/>
  <c r="M12" i="232"/>
  <c r="M6" i="232"/>
  <c r="H8" i="232" l="1"/>
  <c r="I8" i="232"/>
  <c r="I9" i="232"/>
  <c r="I10" i="232"/>
  <c r="I11" i="232"/>
  <c r="H13" i="232"/>
  <c r="I15" i="232"/>
  <c r="I17" i="232"/>
  <c r="H9" i="232"/>
  <c r="H10" i="232"/>
  <c r="H17" i="232"/>
  <c r="H15" i="232"/>
  <c r="I18" i="232"/>
  <c r="H18" i="232"/>
  <c r="H14" i="232"/>
  <c r="H11" i="232"/>
  <c r="I13" i="232"/>
  <c r="I14" i="232"/>
  <c r="H12" i="232"/>
  <c r="I12" i="232"/>
  <c r="AT34" i="235"/>
  <c r="P24" i="249"/>
  <c r="S29" i="279" l="1"/>
  <c r="T29" i="279" s="1"/>
  <c r="S29" i="277"/>
  <c r="T29" i="277" s="1"/>
  <c r="S29" i="276"/>
  <c r="T29" i="27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23" authorId="0" shapeId="0" xr:uid="{00000000-0006-0000-0400-000004000000}">
      <text>
        <r>
          <rPr>
            <b/>
            <sz val="9"/>
            <color indexed="81"/>
            <rFont val="Tahoma"/>
            <family val="2"/>
          </rPr>
          <t xml:space="preserve">Total DKE demand
</t>
        </r>
      </text>
    </comment>
    <comment ref="F23" authorId="0" shapeId="0" xr:uid="{00000000-0006-0000-0400-000005000000}">
      <text>
        <r>
          <rPr>
            <b/>
            <sz val="9"/>
            <color indexed="81"/>
            <rFont val="Tahoma"/>
            <family val="2"/>
          </rPr>
          <t xml:space="preserve">Total DKW demand
</t>
        </r>
      </text>
    </comment>
    <comment ref="G23" authorId="0" shapeId="0" xr:uid="{00000000-0006-0000-0400-000006000000}">
      <text>
        <r>
          <rPr>
            <b/>
            <sz val="9"/>
            <color indexed="81"/>
            <rFont val="Tahoma"/>
            <family val="2"/>
          </rPr>
          <t xml:space="preserve">Total DKW demand
</t>
        </r>
      </text>
    </comment>
    <comment ref="E40" authorId="0" shapeId="0" xr:uid="{00000000-0006-0000-0400-000007000000}">
      <text>
        <r>
          <rPr>
            <b/>
            <sz val="9"/>
            <color indexed="81"/>
            <rFont val="Tahoma"/>
            <family val="2"/>
          </rPr>
          <t xml:space="preserve">Total DKE demand
</t>
        </r>
      </text>
    </comment>
    <comment ref="F40" authorId="0" shapeId="0" xr:uid="{00000000-0006-0000-0400-000008000000}">
      <text>
        <r>
          <rPr>
            <b/>
            <sz val="9"/>
            <color indexed="81"/>
            <rFont val="Tahoma"/>
            <family val="2"/>
          </rPr>
          <t xml:space="preserve">Total DKW demand
</t>
        </r>
      </text>
    </comment>
    <comment ref="G40"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27425AFA-52C3-0F41-8AD6-56A83D23102F}">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<sst xmlns="http://schemas.openxmlformats.org/spreadsheetml/2006/main" count="1628" uniqueCount="483">
  <si>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</si>
  <si>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</si>
  <si>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</si>
  <si>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</si>
  <si>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</si>
  <si>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</si>
  <si>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</si>
  <si>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</si>
  <si>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</si>
  <si>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</si>
  <si>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</si>
  <si>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</si>
  <si>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</si>
  <si>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</si>
  <si>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</si>
  <si>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</si>
  <si>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</si>
  <si>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</si>
  <si>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</si>
  <si>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</si>
  <si>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</si>
  <si>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</si>
  <si>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</si>
  <si>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</si>
  <si>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</si>
  <si>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</si>
  <si>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</si>
  <si>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</si>
  <si>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</si>
  <si>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</si>
  <si>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</si>
  <si>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</si>
  <si>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</si>
  <si>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</si>
  <si>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</si>
  <si>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</si>
  <si>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</si>
  <si>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</si>
  <si>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</si>
  <si>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</si>
  <si>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</si>
  <si>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</si>
  <si>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</si>
  <si>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</si>
  <si>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</si>
  <si>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</si>
  <si>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</si>
  <si>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</si>
  <si>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</si>
  <si>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</si>
  <si>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</si>
  <si>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</si>
  <si>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</si>
  <si>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</si>
  <si>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</si>
  <si>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</si>
  <si>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</si>
  <si>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</si>
  <si>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</si>
  <si>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</si>
  <si>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</si>
  <si>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</si>
  <si>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</si>
  <si>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</si>
  <si>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</si>
  <si>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</si>
  <si>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</si>
  <si>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</si>
  <si>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</si>
  <si>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</si>
  <si>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</si>
  <si>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</si>
  <si>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</si>
  <si>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</si>
  <si>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</si>
  <si>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</si>
  <si>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</si>
  <si>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</si>
  <si>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</si>
  <si>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</si>
  <si>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</si>
  <si>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</si>
  <si>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</si>
  <si>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</si>
  <si>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</si>
  <si>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</si>
  <si>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</si>
  <si>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</si>
  <si>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</si>
  <si>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</si>
  <si>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</si>
  <si>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</si>
  <si>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</si>
  <si>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</si>
  <si>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</si>
  <si>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</si>
  <si>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</si>
  <si>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</si>
  <si>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</si>
  <si>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</si>
  <si>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</si>
  <si>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</si>
  <si>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</si>
  <si>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</si>
  <si>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</si>
  <si>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Share-I~UP</t>
  </si>
  <si>
    <t>WCH</t>
  </si>
  <si>
    <t>INDWCH</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</si>
  <si>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</si>
  <si>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</si>
  <si>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</si>
  <si>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</si>
  <si>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</si>
  <si>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</si>
  <si>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</si>
  <si>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</si>
  <si>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</si>
  <si>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</si>
  <si>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</si>
  <si>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</si>
  <si>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</si>
  <si>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</si>
  <si>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</si>
  <si>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</si>
  <si>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</si>
  <si>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</si>
  <si>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</si>
  <si>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</si>
  <si>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</si>
  <si>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</si>
  <si>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</si>
  <si>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</si>
  <si>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</si>
  <si>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</si>
  <si>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</si>
  <si>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</si>
  <si>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</si>
  <si>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</si>
  <si>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</si>
  <si>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</si>
  <si>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Agg Industry</t>
  </si>
  <si>
    <t>Agg End-use</t>
  </si>
  <si>
    <t>EnergyMatrix fuel:</t>
  </si>
  <si>
    <t>EnergyMatrix:</t>
  </si>
  <si>
    <t>The two fuel lists should match:</t>
  </si>
  <si>
    <t>Block size:</t>
  </si>
  <si>
    <t>Index</t>
  </si>
  <si>
    <t>Text</t>
  </si>
  <si>
    <t>Code</t>
  </si>
  <si>
    <t>Demand Electric Motors</t>
  </si>
  <si>
    <t>Demand Light</t>
  </si>
  <si>
    <t>Txt1</t>
  </si>
  <si>
    <t>Txt2</t>
  </si>
  <si>
    <t>Agriculture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</si>
  <si>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</si>
  <si>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</si>
  <si>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</si>
  <si>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</si>
  <si>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</si>
  <si>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</si>
  <si>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</si>
  <si>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</si>
  <si>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</si>
  <si>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</si>
  <si>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</si>
  <si>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</si>
  <si>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</si>
  <si>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</si>
  <si>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</si>
  <si>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</si>
  <si>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</si>
  <si>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</si>
  <si>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</si>
  <si>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</si>
  <si>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</si>
  <si>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</si>
  <si>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</si>
  <si>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</si>
  <si>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</si>
  <si>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</si>
  <si>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</si>
  <si>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</si>
  <si>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</si>
  <si>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</si>
  <si>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</si>
  <si>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</si>
  <si>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</si>
  <si>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</si>
  <si>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Values: 1 to 10.</t>
  </si>
  <si>
    <t>INDGSL</t>
  </si>
  <si>
    <t>INDGSB1</t>
  </si>
  <si>
    <t>INDGSB2</t>
  </si>
  <si>
    <t>DSB</t>
  </si>
  <si>
    <t>M</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</si>
  <si>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</si>
  <si>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</si>
  <si>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</si>
  <si>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</si>
  <si>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</si>
  <si>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</si>
  <si>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</si>
  <si>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</si>
  <si>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</si>
  <si>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</si>
  <si>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</si>
  <si>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</si>
  <si>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</si>
  <si>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</si>
  <si>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</si>
  <si>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</si>
  <si>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</si>
  <si>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</si>
  <si>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</si>
  <si>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</si>
  <si>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GSL</t>
  </si>
  <si>
    <t>Construction</t>
  </si>
  <si>
    <t>PRE</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</si>
  <si>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</si>
  <si>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</si>
  <si>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</si>
  <si>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</si>
  <si>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</si>
  <si>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</si>
  <si>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</si>
  <si>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</si>
  <si>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</si>
  <si>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</si>
  <si>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</si>
  <si>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</si>
  <si>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</si>
  <si>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</si>
  <si>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</si>
  <si>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</si>
  <si>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</si>
  <si>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</si>
  <si>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</si>
  <si>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</si>
  <si>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</si>
  <si>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</si>
  <si>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</si>
  <si>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</si>
  <si>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</si>
  <si>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</si>
  <si>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</si>
  <si>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</si>
  <si>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</si>
  <si>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</si>
  <si>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</si>
  <si>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</si>
  <si>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</si>
  <si>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</si>
  <si>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</si>
  <si>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</si>
  <si>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</si>
  <si>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GlassConcrete</t>
  </si>
  <si>
    <t>Fuel demand by energy service</t>
  </si>
  <si>
    <t>Fuel demand (calculated)</t>
  </si>
  <si>
    <t>NRG,NGR-IND</t>
  </si>
  <si>
    <t>AFA</t>
  </si>
  <si>
    <t>STOCK~0</t>
  </si>
  <si>
    <t>Machinery</t>
  </si>
  <si>
    <t>IronSteel</t>
  </si>
  <si>
    <t>Wood</t>
  </si>
  <si>
    <t>Aluminium</t>
  </si>
  <si>
    <t>Mining</t>
  </si>
  <si>
    <t>Eurostat</t>
  </si>
  <si>
    <t>Temperature Distribution</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</si>
  <si>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</si>
  <si>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</si>
  <si>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</si>
  <si>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</si>
  <si>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</si>
  <si>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</si>
  <si>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</si>
  <si>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</si>
  <si>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</si>
  <si>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</si>
  <si>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</si>
  <si>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</si>
  <si>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</si>
  <si>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</si>
  <si>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</si>
  <si>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</si>
  <si>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</si>
  <si>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</si>
  <si>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</si>
  <si>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</si>
  <si>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</si>
  <si>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</si>
  <si>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</si>
  <si>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</si>
  <si>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</si>
  <si>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</si>
  <si>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</si>
  <si>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</si>
  <si>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</si>
  <si>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</si>
  <si>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</si>
  <si>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</si>
  <si>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</si>
  <si>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</si>
  <si>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INDBLQ</t>
  </si>
  <si>
    <t>Black liquor IND</t>
  </si>
  <si>
    <t>~COMEMI</t>
  </si>
  <si>
    <t>INDH2</t>
  </si>
  <si>
    <t>H2</t>
  </si>
  <si>
    <t>Hydrogen IND</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</si>
  <si>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</si>
  <si>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</si>
  <si>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</si>
  <si>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</si>
  <si>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</si>
  <si>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</si>
  <si>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</si>
  <si>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</si>
  <si>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</si>
  <si>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</si>
  <si>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</si>
  <si>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</si>
  <si>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</si>
  <si>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</si>
  <si>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</si>
  <si>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</si>
  <si>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</si>
  <si>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</si>
  <si>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</si>
  <si>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</si>
  <si>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</si>
  <si>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</si>
  <si>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</si>
  <si>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</si>
  <si>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</si>
  <si>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</si>
  <si>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</si>
  <si>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</si>
  <si>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</si>
  <si>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</si>
  <si>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</si>
  <si>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</si>
  <si>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</si>
  <si>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</si>
  <si>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</si>
  <si>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</si>
  <si>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</si>
  <si>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</si>
  <si>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</si>
  <si>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</si>
  <si>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</si>
  <si>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</si>
  <si>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</si>
  <si>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</si>
  <si>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</si>
  <si>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</si>
  <si>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</si>
  <si>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</si>
  <si>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</si>
  <si>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</si>
  <si>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</si>
  <si>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</si>
  <si>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</si>
  <si>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</si>
  <si>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</si>
  <si>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</si>
  <si>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</si>
  <si>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</si>
  <si>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</si>
  <si>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</si>
  <si>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</si>
  <si>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</si>
  <si>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</si>
  <si>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</si>
  <si>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</si>
  <si>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</si>
  <si>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</si>
  <si>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</si>
  <si>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</si>
  <si>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</si>
  <si>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</si>
  <si>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</si>
  <si>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</si>
  <si>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</si>
  <si>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</si>
  <si>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Fuel split into service demands</t>
  </si>
  <si>
    <t>Energy matrix for 2010</t>
  </si>
  <si>
    <t>Energy matrix for 2019</t>
  </si>
  <si>
    <t>Energy demand 2010</t>
  </si>
  <si>
    <t>Energy demand 2019</t>
  </si>
  <si>
    <t>Demand Process heat</t>
  </si>
  <si>
    <t>Demand Cooling</t>
  </si>
  <si>
    <t>Demand Spatial Heat</t>
  </si>
  <si>
    <t>Process heat temperature</t>
  </si>
  <si>
    <t>Cooling demand</t>
  </si>
  <si>
    <t>Haullage</t>
  </si>
  <si>
    <t>Light and electronics</t>
  </si>
  <si>
    <t>Electric motors</t>
  </si>
  <si>
    <t>Spatial heating</t>
  </si>
  <si>
    <t>PulpPaper</t>
  </si>
  <si>
    <t>TextileLeather</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</si>
  <si>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</si>
  <si>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</si>
  <si>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</si>
  <si>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</si>
  <si>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</si>
  <si>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</si>
  <si>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</si>
  <si>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</si>
  <si>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</si>
  <si>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</si>
  <si>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</si>
  <si>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</si>
  <si>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AG</t>
  </si>
  <si>
    <t>AGR</t>
  </si>
  <si>
    <t>AGRCO2</t>
  </si>
  <si>
    <t>CO2 Agriculture</t>
  </si>
  <si>
    <t>PH</t>
  </si>
  <si>
    <t>CO</t>
  </si>
  <si>
    <t>SH</t>
  </si>
  <si>
    <t>LA</t>
  </si>
  <si>
    <t>EM</t>
  </si>
  <si>
    <t>TF</t>
  </si>
  <si>
    <t>FL</t>
  </si>
  <si>
    <t>AGD</t>
  </si>
  <si>
    <t>ELCLOW</t>
  </si>
  <si>
    <t>NGAD</t>
  </si>
  <si>
    <t>2.10  Energy balance by products in 2019</t>
  </si>
  <si>
    <t>INDHSE</t>
  </si>
  <si>
    <t>SubUrban District Heat IND</t>
  </si>
  <si>
    <t>HETSP</t>
  </si>
  <si>
    <t>Demand base year</t>
  </si>
  <si>
    <t>Solid Fossil Fuels</t>
  </si>
  <si>
    <t>Manufactured gas</t>
  </si>
  <si>
    <t>Manufatured Gases</t>
  </si>
  <si>
    <t>Manufactured Gases</t>
  </si>
  <si>
    <t>Biodiesel</t>
  </si>
  <si>
    <t>Manufactured gases</t>
  </si>
  <si>
    <t>Energy matrix for 2015</t>
  </si>
  <si>
    <t>Energy demand 2015</t>
  </si>
  <si>
    <t>08 Biogas</t>
  </si>
  <si>
    <t>Refinery gas (not in EB)</t>
  </si>
  <si>
    <t>FT-INDCOAtoMFG</t>
  </si>
  <si>
    <t>Coal to manufactured gas</t>
  </si>
  <si>
    <t>FT technology Agriculture MFG referenced as NSG1</t>
  </si>
  <si>
    <t>FT-AGRCOAtoMFG</t>
  </si>
  <si>
    <t>DE1</t>
  </si>
  <si>
    <t>DEMAND~DE1</t>
  </si>
  <si>
    <t>DE1
Col</t>
  </si>
  <si>
    <t>DEMAND~DE1~2015</t>
  </si>
  <si>
    <t>DEMAND~DE1~2019</t>
  </si>
  <si>
    <t>STOCK~DE1</t>
  </si>
  <si>
    <t>STOCK~DE1~2015</t>
  </si>
  <si>
    <t>STOCK~DE1~2019</t>
  </si>
  <si>
    <t>STOCK~DE1~2020</t>
  </si>
  <si>
    <t>STOCK~DE1~2034</t>
  </si>
  <si>
    <t>EFF~DE1</t>
  </si>
  <si>
    <t>DEMAND~DE2</t>
  </si>
  <si>
    <t>DE2
Col</t>
  </si>
  <si>
    <t>DEMAND~DE2~2015</t>
  </si>
  <si>
    <t>DEMAND~DE2~2019</t>
  </si>
  <si>
    <t>DE2</t>
  </si>
  <si>
    <t>STOCK~DE2</t>
  </si>
  <si>
    <t>STOCK~DE2~2015</t>
  </si>
  <si>
    <t>STOCK~DE2~2019</t>
  </si>
  <si>
    <t>STOCK~DE2~2020</t>
  </si>
  <si>
    <t>STOCK~DE2~2034</t>
  </si>
  <si>
    <t>EFF~DE2</t>
  </si>
  <si>
    <t>DEMAND~DE3</t>
  </si>
  <si>
    <t>DE3
Col</t>
  </si>
  <si>
    <t>DEMAND~DE3~2015</t>
  </si>
  <si>
    <t>DEMAND~DE3~2019</t>
  </si>
  <si>
    <t>DE3</t>
  </si>
  <si>
    <t>STOCK~DE3</t>
  </si>
  <si>
    <t>STOCK~DE3~2015</t>
  </si>
  <si>
    <t>STOCK~DE3~2019</t>
  </si>
  <si>
    <t>STOCK~DE3~2020</t>
  </si>
  <si>
    <t>STOCK~DE3~2034</t>
  </si>
  <si>
    <t>EFF~DE3</t>
  </si>
  <si>
    <t>06 Manufactured gases</t>
  </si>
  <si>
    <t>07 Natural gas</t>
  </si>
  <si>
    <t>09 Biodiesel</t>
  </si>
  <si>
    <t>10 Biomass</t>
  </si>
  <si>
    <t>11 Waste</t>
  </si>
  <si>
    <t>12 Electricity</t>
  </si>
  <si>
    <t>13 District Heating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</si>
</sst>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5">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_(* #,##0_);_(* \(#,##0\);_(* &quot;-&quot;??_);_(@_)"/>
    <numFmt numFmtId="194" formatCode="#,##0.0"/>
    <numFmt numFmtId="195" formatCode="#,##0.000"/>
    <numFmt numFmtId="196" formatCode="#,##0.##########"/>
  </numFmts>
  <fonts count="168">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11"/>
      <color theme="1"/>
      <name val="Times New Roman"/>
      <family val="1"/>
      <charset val="204"/>
    </font>
    <font>
      <b/>
      <sz val="11"/>
      <color theme="1"/>
      <name val="Times New Roman"/>
      <family val="1"/>
      <charset val="204"/>
    </font>
    <font>
      <sz val="9"/>
      <name val="Arial"/>
      <family val="2"/>
    </font>
    <font>
      <sz val="9"/>
      <name val="Arial"/>
      <family val="2"/>
    </font>
    <font>
      <b/>
      <sz val="9"/>
      <color rgb="FF000000"/>
      <name val="Tahoma"/>
      <family val="2"/>
    </font>
    <font>
      <sz val="9"/>
      <color rgb="FF000000"/>
      <name val="Tahoma"/>
      <family val="2"/>
    </font>
    <font>
      <b/>
      <sz val="9"/>
      <color indexed="9"/>
      <name val="Arial"/>
      <family val="2"/>
    </font>
    <font>
      <sz val="10"/>
      <color rgb="FF538DD5"/>
      <name val="Calibri"/>
      <family val="2"/>
    </font>
    <font>
      <sz val="8"/>
      <name val="Arial"/>
    </font>
  </fonts>
  <fills count="11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
      <patternFill patternType="solid">
        <fgColor rgb="FFC5D9F1"/>
        <bgColor rgb="FF000000"/>
      </patternFill>
    </fill>
    <fill>
      <patternFill patternType="solid">
        <fgColor rgb="FFDCE6F1"/>
        <bgColor rgb="FF000000"/>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4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0" fontId="70" fillId="48" borderId="0" xfId="0" applyFont="1" applyFill="1" applyAlignment="1"/>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70" fillId="0" borderId="0" xfId="0" applyFont="1" applyFill="1"/>
    <xf numFmtId="0" fontId="70" fillId="0" borderId="0" xfId="0" applyFont="1" applyAlignment="1">
      <alignment horizontal="center"/>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183" fontId="70" fillId="58" borderId="16"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0" fontId="70" fillId="58" borderId="13" xfId="0" applyFont="1" applyFill="1" applyBorder="1" applyAlignment="1">
      <alignment horizontal="right" vertical="center"/>
    </xf>
    <xf numFmtId="0" fontId="70" fillId="58" borderId="22" xfId="0" applyFont="1" applyFill="1" applyBorder="1" applyAlignment="1"/>
    <xf numFmtId="0" fontId="83"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Fill="1" applyBorder="1"/>
    <xf numFmtId="0" fontId="70" fillId="49" borderId="0" xfId="0" applyFont="1" applyFill="1" applyAlignment="1">
      <alignment vertical="center" wrapText="1"/>
    </xf>
    <xf numFmtId="183" fontId="70" fillId="58" borderId="21" xfId="0" applyNumberFormat="1" applyFont="1" applyFill="1" applyBorder="1"/>
    <xf numFmtId="167" fontId="70" fillId="0" borderId="0" xfId="0" applyNumberFormat="1" applyFont="1"/>
    <xf numFmtId="167" fontId="70" fillId="0" borderId="0" xfId="33" applyNumberFormat="1" applyFont="1"/>
    <xf numFmtId="0" fontId="3" fillId="0" borderId="0" xfId="51274"/>
    <xf numFmtId="0" fontId="146" fillId="108" borderId="0" xfId="51274" applyFont="1" applyFill="1" applyBorder="1" applyAlignment="1">
      <alignment vertical="center" wrapText="1"/>
    </xf>
    <xf numFmtId="0" fontId="3" fillId="0" borderId="0" xfId="51275" applyBorder="1" applyAlignment="1">
      <alignment vertical="center"/>
    </xf>
    <xf numFmtId="0" fontId="146" fillId="108"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09"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3"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0" fontId="150" fillId="110" borderId="0" xfId="428" applyFont="1" applyFill="1" applyBorder="1"/>
    <xf numFmtId="0" fontId="150" fillId="0" borderId="0" xfId="428" applyFont="1" applyFill="1" applyBorder="1"/>
    <xf numFmtId="0" fontId="79" fillId="111" borderId="18" xfId="428" applyFont="1" applyFill="1" applyBorder="1" applyAlignment="1">
      <alignment horizontal="left" vertical="center" wrapText="1"/>
    </xf>
    <xf numFmtId="0" fontId="79" fillId="112" borderId="20" xfId="428" applyFont="1" applyFill="1" applyBorder="1" applyAlignment="1">
      <alignment horizontal="left" wrapText="1"/>
    </xf>
    <xf numFmtId="0" fontId="79" fillId="112"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4" fontId="154" fillId="0" borderId="27" xfId="6370" applyNumberFormat="1" applyFont="1" applyBorder="1" applyAlignment="1">
      <alignment horizontal="right"/>
    </xf>
    <xf numFmtId="194" fontId="154" fillId="0" borderId="65" xfId="6370" applyNumberFormat="1" applyFont="1" applyBorder="1" applyAlignment="1">
      <alignment horizontal="right"/>
    </xf>
    <xf numFmtId="0" fontId="154" fillId="0" borderId="66" xfId="6370" applyFont="1" applyBorder="1" applyAlignment="1">
      <alignment horizontal="left"/>
    </xf>
    <xf numFmtId="194" fontId="154" fillId="0" borderId="52" xfId="6370" applyNumberFormat="1" applyFont="1" applyBorder="1" applyAlignment="1">
      <alignment horizontal="right"/>
    </xf>
    <xf numFmtId="194"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4" fontId="151" fillId="0" borderId="52" xfId="6370" applyNumberFormat="1" applyFont="1" applyBorder="1" applyAlignment="1">
      <alignment horizontal="right"/>
    </xf>
    <xf numFmtId="194"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4" fontId="151" fillId="0" borderId="55" xfId="6370" applyNumberFormat="1" applyFont="1" applyBorder="1" applyAlignment="1">
      <alignment horizontal="right"/>
    </xf>
    <xf numFmtId="194" fontId="154" fillId="0" borderId="55" xfId="6370" applyNumberFormat="1" applyFont="1" applyBorder="1" applyAlignment="1">
      <alignment horizontal="right"/>
    </xf>
    <xf numFmtId="194"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4" fontId="154" fillId="0" borderId="27" xfId="51278" applyNumberFormat="1" applyFont="1" applyBorder="1" applyAlignment="1">
      <alignment horizontal="right"/>
    </xf>
    <xf numFmtId="194" fontId="154" fillId="0" borderId="65" xfId="51278" applyNumberFormat="1" applyFont="1" applyBorder="1" applyAlignment="1">
      <alignment horizontal="right"/>
    </xf>
    <xf numFmtId="194" fontId="154" fillId="0" borderId="52" xfId="51278" applyNumberFormat="1" applyFont="1" applyBorder="1" applyAlignment="1">
      <alignment horizontal="right"/>
    </xf>
    <xf numFmtId="194" fontId="154" fillId="0" borderId="67" xfId="51278" applyNumberFormat="1" applyFont="1" applyBorder="1" applyAlignment="1">
      <alignment horizontal="right"/>
    </xf>
    <xf numFmtId="194" fontId="151" fillId="0" borderId="52" xfId="51278" applyNumberFormat="1" applyFont="1" applyBorder="1" applyAlignment="1">
      <alignment horizontal="right"/>
    </xf>
    <xf numFmtId="194" fontId="151" fillId="0" borderId="67" xfId="51278" applyNumberFormat="1" applyFont="1" applyBorder="1" applyAlignment="1">
      <alignment horizontal="right"/>
    </xf>
    <xf numFmtId="0" fontId="154" fillId="0" borderId="66" xfId="51279" applyFont="1" applyBorder="1" applyAlignment="1">
      <alignment horizontal="left" indent="2"/>
    </xf>
    <xf numFmtId="194" fontId="151" fillId="0" borderId="55" xfId="51278" applyNumberFormat="1" applyFont="1" applyBorder="1" applyAlignment="1">
      <alignment horizontal="right"/>
    </xf>
    <xf numFmtId="194" fontId="154" fillId="0" borderId="55" xfId="51278" applyNumberFormat="1" applyFont="1" applyBorder="1" applyAlignment="1">
      <alignment horizontal="right"/>
    </xf>
    <xf numFmtId="194" fontId="151" fillId="0" borderId="63" xfId="51278" applyNumberFormat="1" applyFont="1" applyBorder="1" applyAlignment="1">
      <alignment horizontal="right"/>
    </xf>
    <xf numFmtId="194"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5" fontId="154" fillId="0" borderId="0" xfId="51278" applyNumberFormat="1" applyFont="1"/>
    <xf numFmtId="0" fontId="120" fillId="0" borderId="0" xfId="12909" applyNumberFormat="1" applyFont="1" applyFill="1"/>
    <xf numFmtId="194"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52" xfId="0" applyFont="1" applyBorder="1" applyAlignment="1"/>
    <xf numFmtId="0" fontId="70" fillId="0" borderId="52"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72" fillId="37" borderId="0" xfId="1589" applyFont="1"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0" fontId="58" fillId="0" borderId="0" xfId="3963" applyFont="1" applyFill="1"/>
    <xf numFmtId="0" fontId="1" fillId="0" borderId="0" xfId="3963" applyFont="1"/>
    <xf numFmtId="0" fontId="68" fillId="35" borderId="52" xfId="51274" applyNumberFormat="1" applyFont="1" applyFill="1" applyBorder="1" applyAlignment="1"/>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77" fontId="70" fillId="54" borderId="18" xfId="0" applyNumberFormat="1" applyFont="1" applyFill="1" applyBorder="1" applyAlignment="1"/>
    <xf numFmtId="177" fontId="70" fillId="54" borderId="18" xfId="33" applyNumberFormat="1" applyFont="1" applyFill="1" applyBorder="1"/>
    <xf numFmtId="177" fontId="70" fillId="54" borderId="17" xfId="0" applyNumberFormat="1" applyFont="1" applyFill="1" applyBorder="1" applyAlignment="1">
      <alignment horizontal="left"/>
    </xf>
    <xf numFmtId="0" fontId="70" fillId="0" borderId="0" xfId="0" applyFont="1" applyBorder="1" applyAlignment="1"/>
    <xf numFmtId="43" fontId="70" fillId="0" borderId="0" xfId="33" applyFont="1" applyBorder="1"/>
    <xf numFmtId="177" fontId="70" fillId="37" borderId="13" xfId="0" applyNumberFormat="1" applyFont="1" applyFill="1" applyBorder="1"/>
    <xf numFmtId="177" fontId="70" fillId="37" borderId="13" xfId="0" applyNumberFormat="1" applyFont="1" applyFill="1" applyBorder="1" applyAlignment="1"/>
    <xf numFmtId="0" fontId="70" fillId="37" borderId="13" xfId="0" applyNumberFormat="1" applyFont="1" applyFill="1" applyBorder="1"/>
    <xf numFmtId="177" fontId="70" fillId="37" borderId="0" xfId="0" applyNumberFormat="1" applyFont="1" applyFill="1" applyBorder="1"/>
    <xf numFmtId="177" fontId="70" fillId="37" borderId="0" xfId="0" applyNumberFormat="1" applyFont="1" applyFill="1" applyBorder="1" applyAlignment="1"/>
    <xf numFmtId="0" fontId="70" fillId="37" borderId="0" xfId="0" applyNumberFormat="1" applyFont="1" applyFill="1" applyBorder="1"/>
    <xf numFmtId="2" fontId="70" fillId="54" borderId="16" xfId="0" applyNumberFormat="1" applyFont="1" applyFill="1" applyBorder="1"/>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5" fontId="161" fillId="113" borderId="0" xfId="0" applyNumberFormat="1" applyFont="1" applyFill="1" applyAlignment="1">
      <alignment horizontal="right" vertical="center" shrinkToFit="1"/>
    </xf>
    <xf numFmtId="195" fontId="161" fillId="0" borderId="0" xfId="0" applyNumberFormat="1" applyFont="1" applyAlignment="1">
      <alignment horizontal="right" vertical="center" shrinkToFit="1"/>
    </xf>
    <xf numFmtId="194" fontId="154" fillId="0" borderId="74" xfId="51278" applyNumberFormat="1" applyFont="1" applyBorder="1" applyAlignment="1">
      <alignment horizontal="right"/>
    </xf>
    <xf numFmtId="194" fontId="151" fillId="0" borderId="74" xfId="51278" applyNumberFormat="1" applyFont="1" applyBorder="1" applyAlignment="1">
      <alignment horizontal="right"/>
    </xf>
    <xf numFmtId="194" fontId="162" fillId="113" borderId="0" xfId="0" applyNumberFormat="1" applyFont="1" applyFill="1" applyAlignment="1">
      <alignment horizontal="right" vertical="center" shrinkToFit="1"/>
    </xf>
    <xf numFmtId="194" fontId="162" fillId="0" borderId="0" xfId="0" applyNumberFormat="1" applyFont="1" applyAlignment="1">
      <alignment horizontal="right" vertical="center" shrinkToFit="1"/>
    </xf>
    <xf numFmtId="195" fontId="162" fillId="0" borderId="0" xfId="0" applyNumberFormat="1" applyFont="1" applyAlignment="1">
      <alignment horizontal="right" vertical="center" shrinkToFit="1"/>
    </xf>
    <xf numFmtId="195" fontId="162" fillId="113"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4" fontId="154" fillId="0" borderId="74" xfId="6370" applyNumberFormat="1" applyFont="1" applyBorder="1" applyAlignment="1">
      <alignment horizontal="right"/>
    </xf>
    <xf numFmtId="194" fontId="151" fillId="0" borderId="74" xfId="6370" applyNumberFormat="1" applyFont="1" applyBorder="1" applyAlignment="1">
      <alignment horizontal="right"/>
    </xf>
    <xf numFmtId="182" fontId="161" fillId="113" borderId="0" xfId="0" applyNumberFormat="1" applyFont="1" applyFill="1" applyAlignment="1">
      <alignment horizontal="right" vertical="center" shrinkToFit="1"/>
    </xf>
    <xf numFmtId="182" fontId="161" fillId="0" borderId="0" xfId="0" applyNumberFormat="1" applyFont="1" applyAlignment="1">
      <alignment horizontal="right" vertical="center" shrinkToFi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194" fontId="154" fillId="0" borderId="75" xfId="6370" applyNumberFormat="1" applyFont="1" applyBorder="1" applyAlignment="1">
      <alignment horizontal="right"/>
    </xf>
    <xf numFmtId="194" fontId="151" fillId="0" borderId="75" xfId="6370" applyNumberFormat="1" applyFont="1" applyBorder="1" applyAlignment="1">
      <alignment horizontal="right"/>
    </xf>
    <xf numFmtId="194" fontId="154" fillId="0" borderId="75" xfId="51278" applyNumberFormat="1" applyFont="1" applyBorder="1" applyAlignment="1">
      <alignment horizontal="right"/>
    </xf>
    <xf numFmtId="194" fontId="151" fillId="0" borderId="75" xfId="51278" applyNumberFormat="1" applyFont="1" applyBorder="1" applyAlignment="1">
      <alignment horizontal="right"/>
    </xf>
    <xf numFmtId="0" fontId="165" fillId="114" borderId="76" xfId="0" applyFont="1" applyFill="1" applyBorder="1" applyAlignment="1">
      <alignment horizontal="left" vertical="center"/>
    </xf>
    <xf numFmtId="194" fontId="161" fillId="113" borderId="0" xfId="0" applyNumberFormat="1" applyFont="1" applyFill="1" applyAlignment="1">
      <alignment horizontal="right" vertical="center" shrinkToFit="1"/>
    </xf>
    <xf numFmtId="194" fontId="161" fillId="0" borderId="0" xfId="0" applyNumberFormat="1" applyFont="1" applyAlignment="1">
      <alignment horizontal="right" vertical="center" shrinkToFit="1"/>
    </xf>
    <xf numFmtId="0" fontId="165" fillId="114" borderId="76" xfId="1589" applyFont="1" applyFill="1" applyBorder="1" applyAlignment="1">
      <alignment horizontal="left" vertical="center"/>
    </xf>
    <xf numFmtId="194" fontId="159" fillId="0" borderId="27" xfId="1589" applyNumberFormat="1" applyFont="1" applyBorder="1" applyAlignment="1">
      <alignment horizontal="right"/>
    </xf>
    <xf numFmtId="194" fontId="159" fillId="0" borderId="65" xfId="1589" applyNumberFormat="1" applyFont="1" applyBorder="1" applyAlignment="1">
      <alignment horizontal="right"/>
    </xf>
    <xf numFmtId="194" fontId="159" fillId="0" borderId="75" xfId="1589" applyNumberFormat="1" applyFont="1" applyBorder="1" applyAlignment="1">
      <alignment horizontal="right"/>
    </xf>
    <xf numFmtId="194" fontId="159" fillId="0" borderId="67" xfId="1589" applyNumberFormat="1" applyFont="1" applyBorder="1" applyAlignment="1">
      <alignment horizontal="right"/>
    </xf>
    <xf numFmtId="194" fontId="160" fillId="0" borderId="75" xfId="1589" applyNumberFormat="1" applyFont="1" applyBorder="1" applyAlignment="1">
      <alignment horizontal="right"/>
    </xf>
    <xf numFmtId="194" fontId="160" fillId="0" borderId="67" xfId="1589" applyNumberFormat="1" applyFont="1" applyBorder="1" applyAlignment="1">
      <alignment horizontal="right"/>
    </xf>
    <xf numFmtId="195" fontId="161" fillId="0" borderId="0" xfId="1589" applyNumberFormat="1" applyFont="1" applyAlignment="1">
      <alignment horizontal="right" vertical="center" shrinkToFit="1"/>
    </xf>
    <xf numFmtId="182" fontId="161" fillId="113" borderId="0" xfId="1589" applyNumberFormat="1" applyFont="1" applyFill="1" applyAlignment="1">
      <alignment horizontal="right" vertical="center" shrinkToFit="1"/>
    </xf>
    <xf numFmtId="196" fontId="161" fillId="113" borderId="0" xfId="1589" applyNumberFormat="1" applyFont="1" applyFill="1" applyAlignment="1">
      <alignment horizontal="right" vertical="center" shrinkToFit="1"/>
    </xf>
    <xf numFmtId="196" fontId="161" fillId="0" borderId="0" xfId="1589" applyNumberFormat="1" applyFont="1" applyAlignment="1">
      <alignment horizontal="right" vertical="center" shrinkToFit="1"/>
    </xf>
    <xf numFmtId="195" fontId="161" fillId="113" borderId="0" xfId="1589" applyNumberFormat="1" applyFont="1" applyFill="1" applyAlignment="1">
      <alignment horizontal="right" vertical="center" shrinkToFit="1"/>
    </xf>
    <xf numFmtId="3" fontId="161" fillId="0" borderId="0" xfId="1589" applyNumberFormat="1" applyFont="1" applyAlignment="1">
      <alignment horizontal="right" vertical="center" shrinkToFit="1"/>
    </xf>
    <xf numFmtId="194" fontId="160" fillId="0" borderId="55" xfId="1589" applyNumberFormat="1" applyFont="1" applyBorder="1" applyAlignment="1">
      <alignment horizontal="right"/>
    </xf>
    <xf numFmtId="194" fontId="159" fillId="0" borderId="55" xfId="1589" applyNumberFormat="1" applyFont="1" applyBorder="1" applyAlignment="1">
      <alignment horizontal="right"/>
    </xf>
    <xf numFmtId="194" fontId="160" fillId="0" borderId="63" xfId="1589" applyNumberFormat="1" applyFont="1" applyBorder="1" applyAlignment="1">
      <alignment horizontal="right"/>
    </xf>
    <xf numFmtId="0" fontId="166" fillId="115" borderId="0" xfId="0" applyFont="1" applyFill="1" applyAlignment="1">
      <alignment horizontal="center"/>
    </xf>
    <xf numFmtId="0" fontId="166" fillId="115" borderId="17" xfId="0" applyFont="1" applyFill="1" applyBorder="1"/>
    <xf numFmtId="0" fontId="166" fillId="115" borderId="17" xfId="0" applyFont="1" applyFill="1" applyBorder="1" applyAlignment="1">
      <alignment horizontal="right"/>
    </xf>
    <xf numFmtId="0" fontId="166" fillId="115" borderId="0" xfId="0" applyFont="1" applyFill="1"/>
    <xf numFmtId="3" fontId="166" fillId="116" borderId="0" xfId="0" applyNumberFormat="1" applyFont="1" applyFill="1"/>
    <xf numFmtId="0" fontId="166" fillId="115" borderId="0" xfId="0" applyFont="1" applyFill="1" applyAlignment="1"/>
    <xf numFmtId="0" fontId="155" fillId="0" borderId="58"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70" fillId="34" borderId="17" xfId="0" applyFont="1" applyFill="1" applyBorder="1"/>
    <xf numFmtId="0" fontId="69" fillId="34" borderId="17" xfId="0" applyFont="1" applyFill="1" applyBorder="1" applyAlignment="1">
      <alignment horizontal="center" vertical="center"/>
    </xf>
    <xf numFmtId="0" fontId="70" fillId="34" borderId="0" xfId="0" applyFont="1" applyFill="1" applyBorder="1"/>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8"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1" fillId="0" borderId="71" xfId="51279" applyFont="1" applyBorder="1" applyAlignment="1">
      <alignment horizontal="center" vertical="center" wrapText="1"/>
    </xf>
    <xf numFmtId="0" fontId="151" fillId="0" borderId="73"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2" xfId="51279"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73"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2"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 Type="http://schemas.openxmlformats.org/officeDocument/2006/relationships/worksheet" Target="worksheets/sheet3.xml"/><Relationship Id="rId21" Type="http://schemas.openxmlformats.org/officeDocument/2006/relationships/externalLink" Target="externalLinks/externalLink8.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externalLink" Target="externalLinks/externalLink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0</xdr:col>
      <xdr:colOff>876300</xdr:colOff>
      <xdr:row>30</xdr:row>
      <xdr:rowOff>133350</xdr:rowOff>
    </xdr:from>
    <xdr:to>
      <xdr:col>8</xdr:col>
      <xdr:colOff>657225</xdr:colOff>
      <xdr:row>40</xdr:row>
      <xdr:rowOff>57150</xdr:rowOff>
    </xdr:to>
    <xdr:sp macro="" textlink="">
      <xdr:nvSpPr>
        <xdr:cNvPr id="2" name="TextBox 1">
          <a:extLst>
            <a:ext uri="{FF2B5EF4-FFF2-40B4-BE49-F238E27FC236}">
              <a16:creationId xmlns:a16="http://schemas.microsoft.com/office/drawing/2014/main" id="{00000000-0008-0000-1200-000002000000}"/>
            </a:ext>
          </a:extLst>
        </xdr:cNvPr>
        <xdr:cNvSpPr txBox="1"/>
      </xdr:nvSpPr>
      <xdr:spPr>
        <a:xfrm>
          <a:off x="876300" y="5114925"/>
          <a:ext cx="56007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da-DK" sz="1100" b="0" baseline="0"/>
        </a:p>
        <a:p>
          <a:r>
            <a:rPr lang="da-DK" sz="1100" b="1" baseline="0"/>
            <a:t>Rafs Feb 2018:</a:t>
          </a:r>
        </a:p>
        <a:p>
          <a:r>
            <a:rPr lang="da-DK" sz="1100" b="0" baseline="0"/>
            <a:t>DH losses for Industries were missing so I added here through EFF of FT.</a:t>
          </a:r>
        </a:p>
        <a:p>
          <a:endParaRPr lang="da-DK" sz="1100" b="0" baseline="0"/>
        </a:p>
        <a:p>
          <a:r>
            <a:rPr lang="da-DK" sz="1100" b="0" baseline="0"/>
            <a:t>The DH pipes (where losses are defined) are only used by the HOU secotr and bypassed by the industries.</a:t>
          </a:r>
        </a:p>
        <a:p>
          <a:endParaRPr lang="da-DK" sz="1100" b="1" baseline="0">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212</v>
      </c>
    </row>
    <row r="4" spans="1:14" s="7" customFormat="1">
      <c r="A4" s="9">
        <v>44297</v>
      </c>
      <c r="B4" s="8" t="s">
        <v>308</v>
      </c>
      <c r="C4" s="8" t="s">
        <v>211</v>
      </c>
      <c r="D4" s="8"/>
      <c r="E4" s="8" t="s">
        <v>307</v>
      </c>
    </row>
    <row r="5" spans="1:14" s="7" customFormat="1">
      <c r="A5" s="9">
        <v>44298</v>
      </c>
      <c r="B5" s="8" t="s">
        <v>308</v>
      </c>
      <c r="C5" s="8" t="s">
        <v>211</v>
      </c>
      <c r="D5" s="8"/>
      <c r="E5" s="8" t="s">
        <v>309</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31"/>
      <c r="B16" s="328"/>
      <c r="C16" s="329"/>
      <c r="D16" s="327"/>
      <c r="E16" s="330"/>
      <c r="G16" s="7"/>
      <c r="H16" s="7"/>
      <c r="I16" s="7"/>
      <c r="J16" s="7"/>
      <c r="K16" s="7"/>
      <c r="L16" s="7"/>
      <c r="M16" s="7"/>
      <c r="N16" s="7"/>
    </row>
    <row r="17" spans="1:6">
      <c r="A17" s="324"/>
      <c r="B17" s="8"/>
      <c r="C17" s="221"/>
      <c r="E17" s="222"/>
    </row>
    <row r="18" spans="1:6">
      <c r="A18" s="9"/>
      <c r="B18" s="8"/>
      <c r="C18" s="221"/>
      <c r="D18" s="8"/>
      <c r="E18" s="8"/>
    </row>
    <row r="19" spans="1:6">
      <c r="A19" s="9"/>
      <c r="B19" s="8"/>
      <c r="C19" s="221"/>
      <c r="D19" s="8"/>
      <c r="E19" s="8"/>
    </row>
    <row r="20" spans="1:6">
      <c r="A20" s="321"/>
      <c r="B20" s="322"/>
      <c r="C20" s="322"/>
      <c r="D20" s="322"/>
      <c r="E20" s="322"/>
    </row>
    <row r="21" spans="1:6">
      <c r="A21" s="321"/>
      <c r="B21" s="322"/>
      <c r="C21" s="322"/>
      <c r="D21" s="322"/>
      <c r="E21" s="322"/>
    </row>
    <row r="22" spans="1:6">
      <c r="A22" s="321"/>
      <c r="B22" s="322"/>
      <c r="C22" s="322"/>
      <c r="D22" s="322"/>
      <c r="E22" s="322"/>
    </row>
    <row r="23" spans="1:6">
      <c r="A23" s="9"/>
      <c r="B23" s="221"/>
      <c r="C23" s="221"/>
      <c r="D23" s="221"/>
      <c r="E23" s="221"/>
    </row>
    <row r="24" spans="1:6">
      <c r="A24" s="9"/>
      <c r="B24" s="221"/>
      <c r="C24" s="221"/>
      <c r="D24" s="221"/>
      <c r="E24" s="221"/>
    </row>
    <row r="25" spans="1:6" s="222" customFormat="1">
      <c r="A25" s="9"/>
      <c r="B25" s="221"/>
      <c r="C25" s="221"/>
      <c r="D25" s="221"/>
      <c r="E25" s="221"/>
      <c r="F25" s="2"/>
    </row>
    <row r="26" spans="1:6" s="222" customFormat="1">
      <c r="A26" s="9"/>
      <c r="B26" s="221"/>
      <c r="C26" s="221"/>
      <c r="D26" s="221"/>
      <c r="E26" s="221"/>
    </row>
    <row r="27" spans="1:6">
      <c r="A27" s="9"/>
      <c r="B27" s="221"/>
      <c r="C27" s="221"/>
      <c r="D27" s="221"/>
      <c r="E27" s="221"/>
      <c r="F27" s="222"/>
    </row>
    <row r="28" spans="1:6">
      <c r="A28" s="9"/>
      <c r="B28" s="221"/>
      <c r="C28" s="221"/>
      <c r="D28" s="221"/>
      <c r="E28" s="221"/>
    </row>
    <row r="29" spans="1:6">
      <c r="A29" s="9"/>
      <c r="B29" s="221"/>
      <c r="C29" s="221"/>
      <c r="D29" s="221"/>
      <c r="E29" s="221"/>
    </row>
    <row r="30" spans="1:6" s="222" customFormat="1">
      <c r="A30" s="9"/>
      <c r="B30" s="221"/>
      <c r="C30" s="221"/>
      <c r="D30" s="221"/>
      <c r="E30" s="221"/>
      <c r="F30" s="2"/>
    </row>
    <row r="31" spans="1:6" s="222" customFormat="1">
      <c r="A31" s="9"/>
      <c r="B31" s="221"/>
      <c r="C31" s="221"/>
      <c r="D31" s="221"/>
    </row>
    <row r="32" spans="1:6" s="222" customFormat="1">
      <c r="A32" s="9"/>
      <c r="B32" s="221"/>
      <c r="C32" s="221"/>
      <c r="D32" s="221"/>
      <c r="E32" s="221"/>
    </row>
    <row r="33" spans="1:8" s="222" customFormat="1">
      <c r="A33" s="9"/>
      <c r="B33" s="221"/>
      <c r="C33" s="221"/>
      <c r="D33" s="221"/>
      <c r="E33" s="221"/>
    </row>
    <row r="34" spans="1:8" s="222" customFormat="1">
      <c r="A34" s="9"/>
      <c r="B34" s="221"/>
      <c r="C34" s="221"/>
      <c r="D34" s="221"/>
      <c r="E34" s="221"/>
    </row>
    <row r="35" spans="1:8">
      <c r="A35" s="9"/>
      <c r="B35" s="221"/>
      <c r="C35" s="221"/>
      <c r="D35" s="221"/>
      <c r="E35" s="221"/>
      <c r="F35" s="222"/>
    </row>
    <row r="36" spans="1:8">
      <c r="A36" s="9"/>
      <c r="B36" s="221"/>
      <c r="C36" s="221"/>
      <c r="D36" s="221"/>
      <c r="E36" s="221"/>
    </row>
    <row r="37" spans="1:8">
      <c r="A37" s="9"/>
      <c r="B37" s="221"/>
      <c r="C37" s="221"/>
      <c r="D37" s="221"/>
      <c r="E37" s="221"/>
    </row>
    <row r="38" spans="1:8">
      <c r="A38" s="9"/>
      <c r="B38" s="221"/>
      <c r="C38" s="221"/>
      <c r="D38" s="221"/>
      <c r="E38" s="221"/>
    </row>
    <row r="39" spans="1:8">
      <c r="A39" s="9"/>
      <c r="B39" s="221"/>
      <c r="C39" s="221"/>
      <c r="D39" s="221"/>
      <c r="E39" s="221"/>
    </row>
    <row r="40" spans="1:8" ht="54.75" customHeight="1">
      <c r="A40" s="9"/>
      <c r="B40" s="221"/>
      <c r="C40" s="221"/>
      <c r="D40" s="221"/>
      <c r="E40" s="221"/>
    </row>
    <row r="41" spans="1:8" s="7" customFormat="1" ht="159.75" customHeight="1">
      <c r="A41" s="392"/>
      <c r="B41" s="221"/>
      <c r="C41" s="221"/>
      <c r="D41" s="221"/>
      <c r="E41" s="221"/>
      <c r="F41" s="393"/>
    </row>
    <row r="42" spans="1:8" s="7" customFormat="1">
      <c r="A42" s="392"/>
      <c r="B42" s="221"/>
      <c r="C42" s="221"/>
      <c r="D42" s="221"/>
      <c r="E42" s="221"/>
      <c r="F42" s="394"/>
    </row>
    <row r="43" spans="1:8" s="7" customFormat="1">
      <c r="A43" s="395"/>
      <c r="B43" s="396"/>
      <c r="C43" s="396"/>
      <c r="D43" s="396"/>
      <c r="E43" s="397"/>
      <c r="F43" s="394"/>
    </row>
    <row r="44" spans="1:8" s="5" customFormat="1">
      <c r="A44" s="395"/>
      <c r="B44" s="396"/>
      <c r="C44" s="396"/>
      <c r="D44" s="396"/>
      <c r="E44" s="397"/>
      <c r="F44" s="394"/>
    </row>
    <row r="45" spans="1:8" s="5" customFormat="1">
      <c r="A45" s="395"/>
      <c r="B45" s="396"/>
      <c r="C45" s="396"/>
      <c r="D45" s="396"/>
      <c r="E45" s="397"/>
      <c r="F45" s="398"/>
    </row>
    <row r="46" spans="1:8" s="5" customFormat="1">
      <c r="A46" s="392"/>
      <c r="B46" s="8"/>
      <c r="C46" s="8"/>
      <c r="D46" s="8"/>
      <c r="E46" s="8"/>
      <c r="F46" s="398"/>
    </row>
    <row r="47" spans="1:8" s="5" customFormat="1">
      <c r="A47" s="392"/>
      <c r="B47" s="8"/>
      <c r="C47" s="8"/>
      <c r="D47" s="8"/>
      <c r="E47" s="8"/>
      <c r="F47" s="398"/>
      <c r="H47" s="7"/>
    </row>
    <row r="48" spans="1:8" s="5" customFormat="1">
      <c r="A48" s="392"/>
      <c r="B48" s="8"/>
      <c r="C48" s="8"/>
      <c r="D48" s="8"/>
      <c r="E48" s="8"/>
      <c r="F48" s="398"/>
      <c r="H48" s="7"/>
    </row>
    <row r="49" spans="1:8" s="5" customFormat="1">
      <c r="A49" s="399"/>
      <c r="B49" s="6"/>
      <c r="C49" s="6"/>
      <c r="D49" s="6"/>
      <c r="E49" s="6"/>
      <c r="F49" s="398"/>
      <c r="H49" s="7"/>
    </row>
    <row r="50" spans="1:8" s="5" customFormat="1">
      <c r="A50" s="399"/>
      <c r="B50" s="6"/>
      <c r="C50" s="6"/>
      <c r="D50" s="6"/>
      <c r="E50" s="6"/>
      <c r="F50" s="398"/>
    </row>
    <row r="51" spans="1:8">
      <c r="A51" s="399"/>
      <c r="B51" s="6"/>
      <c r="C51" s="6"/>
      <c r="D51" s="6"/>
      <c r="E51" s="6"/>
      <c r="F51" s="398"/>
    </row>
    <row r="52" spans="1:8">
      <c r="A52" s="399"/>
      <c r="B52" s="6"/>
      <c r="C52" s="6"/>
      <c r="D52" s="6"/>
      <c r="E52" s="6"/>
      <c r="F52" s="393"/>
    </row>
    <row r="53" spans="1:8">
      <c r="A53" s="399"/>
      <c r="B53" s="6"/>
      <c r="C53" s="6"/>
      <c r="D53" s="6"/>
      <c r="E53" s="6"/>
      <c r="F53" s="393"/>
    </row>
    <row r="54" spans="1:8">
      <c r="A54" s="393"/>
      <c r="B54" s="393"/>
      <c r="C54" s="393"/>
      <c r="D54" s="393"/>
      <c r="E54" s="393"/>
      <c r="F54" s="393"/>
    </row>
    <row r="55" spans="1:8">
      <c r="A55" s="393"/>
      <c r="B55" s="393"/>
      <c r="C55" s="393"/>
      <c r="D55" s="393"/>
      <c r="E55" s="393"/>
      <c r="F55" s="393"/>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4" sqref="C24"/>
    </sheetView>
  </sheetViews>
  <sheetFormatPr baseColWidth="10" defaultColWidth="9.1640625" defaultRowHeight="15"/>
  <cols>
    <col min="1" max="1" width="9.1640625" style="224"/>
    <col min="2" max="2" width="28.33203125" style="224" customWidth="1"/>
    <col min="3" max="3" width="138.5" style="224" customWidth="1"/>
    <col min="4" max="16384" width="9.1640625" style="224"/>
  </cols>
  <sheetData>
    <row r="1" spans="2:3" ht="19">
      <c r="B1" s="223" t="s">
        <v>217</v>
      </c>
    </row>
    <row r="3" spans="2:3">
      <c r="B3" s="225" t="s">
        <v>218</v>
      </c>
      <c r="C3" s="224" t="s">
        <v>225</v>
      </c>
    </row>
    <row r="4" spans="2:3">
      <c r="B4" s="225" t="s">
        <v>219</v>
      </c>
      <c r="C4" s="224" t="s">
        <v>226</v>
      </c>
    </row>
    <row r="5" spans="2:3">
      <c r="B5" s="225"/>
    </row>
    <row r="6" spans="2:3">
      <c r="B6" s="225" t="s">
        <v>220</v>
      </c>
      <c r="C6" s="229" t="s">
        <v>245</v>
      </c>
    </row>
    <row r="7" spans="2:3">
      <c r="B7" s="225"/>
    </row>
    <row r="8" spans="2:3">
      <c r="B8" s="226" t="s">
        <v>221</v>
      </c>
    </row>
    <row r="9" spans="2:3">
      <c r="B9" s="225"/>
    </row>
    <row r="10" spans="2:3">
      <c r="B10" s="227" t="s">
        <v>134</v>
      </c>
      <c r="C10" s="224" t="s">
        <v>227</v>
      </c>
    </row>
    <row r="11" spans="2:3">
      <c r="B11" s="227" t="s">
        <v>133</v>
      </c>
      <c r="C11" s="224" t="s">
        <v>222</v>
      </c>
    </row>
    <row r="12" spans="2:3">
      <c r="B12" s="227" t="s">
        <v>86</v>
      </c>
      <c r="C12" s="224" t="s">
        <v>228</v>
      </c>
    </row>
    <row r="13" spans="2:3">
      <c r="B13" s="227" t="s">
        <v>261</v>
      </c>
      <c r="C13" s="224" t="s">
        <v>231</v>
      </c>
    </row>
    <row r="14" spans="2:3">
      <c r="B14" s="227" t="s">
        <v>205</v>
      </c>
      <c r="C14" s="224" t="s">
        <v>232</v>
      </c>
    </row>
    <row r="15" spans="2:3">
      <c r="B15" s="227" t="s">
        <v>263</v>
      </c>
      <c r="C15" s="224" t="s">
        <v>233</v>
      </c>
    </row>
    <row r="16" spans="2:3">
      <c r="B16" s="227" t="s">
        <v>254</v>
      </c>
      <c r="C16" s="224" t="s">
        <v>234</v>
      </c>
    </row>
    <row r="17" spans="2:3">
      <c r="B17" s="227" t="s">
        <v>359</v>
      </c>
      <c r="C17" s="224" t="s">
        <v>235</v>
      </c>
    </row>
    <row r="18" spans="2:3">
      <c r="B18" s="227" t="s">
        <v>260</v>
      </c>
      <c r="C18" s="224" t="s">
        <v>236</v>
      </c>
    </row>
    <row r="19" spans="2:3">
      <c r="B19" s="227" t="s">
        <v>264</v>
      </c>
      <c r="C19" s="224" t="s">
        <v>237</v>
      </c>
    </row>
    <row r="20" spans="2:3">
      <c r="B20" s="227" t="s">
        <v>204</v>
      </c>
      <c r="C20" s="224" t="s">
        <v>238</v>
      </c>
    </row>
    <row r="21" spans="2:3">
      <c r="B21" s="227" t="s">
        <v>396</v>
      </c>
      <c r="C21" s="224" t="s">
        <v>239</v>
      </c>
    </row>
    <row r="22" spans="2:3">
      <c r="B22" s="227" t="s">
        <v>262</v>
      </c>
      <c r="C22" s="224" t="s">
        <v>240</v>
      </c>
    </row>
    <row r="23" spans="2:3">
      <c r="B23" s="227" t="s">
        <v>397</v>
      </c>
      <c r="C23" s="224" t="s">
        <v>241</v>
      </c>
    </row>
    <row r="24" spans="2:3">
      <c r="B24" s="227" t="s">
        <v>215</v>
      </c>
      <c r="C24" s="224" t="s">
        <v>242</v>
      </c>
    </row>
    <row r="25" spans="2:3">
      <c r="B25" s="227" t="s">
        <v>206</v>
      </c>
      <c r="C25" s="224" t="s">
        <v>242</v>
      </c>
    </row>
    <row r="26" spans="2:3">
      <c r="B26" s="227" t="s">
        <v>229</v>
      </c>
      <c r="C26" s="224" t="s">
        <v>243</v>
      </c>
    </row>
    <row r="27" spans="2:3">
      <c r="B27" s="227" t="s">
        <v>223</v>
      </c>
      <c r="C27" s="224" t="s">
        <v>224</v>
      </c>
    </row>
    <row r="28" spans="2:3">
      <c r="B28" s="228" t="s">
        <v>230</v>
      </c>
      <c r="C28" s="224" t="s">
        <v>244</v>
      </c>
    </row>
    <row r="29" spans="2:3">
      <c r="B29" s="534">
        <v>2010</v>
      </c>
      <c r="C29" s="535" t="str">
        <f>B29&amp;" Energy statistics of Azerbaijan"</f>
        <v>2010 Energy statistics of Azerbaijan</v>
      </c>
    </row>
    <row r="30" spans="2:3">
      <c r="B30" s="225">
        <v>2015</v>
      </c>
      <c r="C30" s="535" t="str">
        <f>B30&amp;" Energy statistics of Azerbaijan"</f>
        <v>2015 Energy statistics of Azerbaijan</v>
      </c>
    </row>
    <row r="31" spans="2:3">
      <c r="B31" s="225">
        <v>2019</v>
      </c>
      <c r="C31" s="535"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451"/>
  <sheetViews>
    <sheetView showGridLines="0" topLeftCell="E5" zoomScale="110" zoomScaleNormal="110" workbookViewId="0">
      <selection activeCell="O10" sqref="O10"/>
    </sheetView>
  </sheetViews>
  <sheetFormatPr baseColWidth="10" defaultColWidth="9.1640625" defaultRowHeight="14"/>
  <cols>
    <col min="1" max="1" width="3.5" style="24" customWidth="1"/>
    <col min="2" max="2" width="11.6640625" style="24" bestFit="1" customWidth="1"/>
    <col min="3" max="3" width="12.33203125" style="24" customWidth="1"/>
    <col min="4" max="4" width="16.6640625" style="24" customWidth="1"/>
    <col min="5" max="5" width="56.33203125" style="24" bestFit="1" customWidth="1"/>
    <col min="6" max="6" width="12" style="24" customWidth="1"/>
    <col min="7" max="7" width="12.83203125" style="24" customWidth="1"/>
    <col min="8" max="8" width="14" style="24" customWidth="1"/>
    <col min="9" max="9" width="10.33203125" style="24" customWidth="1"/>
    <col min="10" max="11" width="9.1640625" style="24"/>
    <col min="12" max="12" width="11.6640625" style="24" bestFit="1" customWidth="1"/>
    <col min="13" max="13" width="44.1640625" style="24" customWidth="1"/>
    <col min="14" max="14" width="9.5" style="24" customWidth="1"/>
    <col min="15" max="15" width="46.6640625" style="24" bestFit="1" customWidth="1"/>
    <col min="16" max="16" width="10.5" style="24" bestFit="1" customWidth="1"/>
    <col min="17" max="17" width="9.1640625" style="24" customWidth="1"/>
    <col min="18" max="18" width="9.1640625" style="24"/>
    <col min="19" max="19" width="24.6640625" style="24" bestFit="1" customWidth="1"/>
    <col min="20" max="20" width="24.5" style="24" bestFit="1" customWidth="1"/>
    <col min="21" max="16384" width="9.1640625" style="24"/>
  </cols>
  <sheetData>
    <row r="1" spans="2:21">
      <c r="D1" s="44"/>
    </row>
    <row r="2" spans="2:21">
      <c r="D2" s="44"/>
    </row>
    <row r="3" spans="2:21">
      <c r="D3" s="44"/>
    </row>
    <row r="4" spans="2:21">
      <c r="B4" s="47" t="s">
        <v>18</v>
      </c>
      <c r="C4" s="47"/>
      <c r="D4" s="48"/>
      <c r="E4" s="48"/>
      <c r="F4" s="48"/>
      <c r="G4" s="48"/>
      <c r="H4" s="48"/>
      <c r="I4" s="48"/>
      <c r="O4" s="48"/>
      <c r="P4" s="48"/>
      <c r="R4" s="194" t="s">
        <v>202</v>
      </c>
      <c r="S4" s="194"/>
      <c r="T4" s="194"/>
      <c r="U4" s="194"/>
    </row>
    <row r="5" spans="2:21" ht="15">
      <c r="B5" s="49" t="s">
        <v>19</v>
      </c>
      <c r="C5" s="49" t="s">
        <v>1</v>
      </c>
      <c r="D5" s="49" t="s">
        <v>2</v>
      </c>
      <c r="E5" s="49" t="s">
        <v>3</v>
      </c>
      <c r="F5" s="49" t="s">
        <v>20</v>
      </c>
      <c r="G5" s="49" t="s">
        <v>21</v>
      </c>
      <c r="H5" s="49" t="s">
        <v>22</v>
      </c>
      <c r="I5" s="49" t="s">
        <v>23</v>
      </c>
      <c r="J5" s="49" t="s">
        <v>24</v>
      </c>
      <c r="R5" s="195" t="s">
        <v>203</v>
      </c>
      <c r="S5" s="194"/>
      <c r="T5" s="194"/>
      <c r="U5" s="194"/>
    </row>
    <row r="6" spans="2:21" ht="37" thickBot="1">
      <c r="B6" s="50" t="s">
        <v>28</v>
      </c>
      <c r="C6" s="50" t="s">
        <v>29</v>
      </c>
      <c r="D6" s="50" t="s">
        <v>30</v>
      </c>
      <c r="E6" s="50" t="s">
        <v>31</v>
      </c>
      <c r="F6" s="50" t="s">
        <v>32</v>
      </c>
      <c r="G6" s="50" t="s">
        <v>33</v>
      </c>
      <c r="H6" s="50" t="s">
        <v>34</v>
      </c>
      <c r="I6" s="50" t="s">
        <v>35</v>
      </c>
      <c r="J6" s="50" t="s">
        <v>36</v>
      </c>
      <c r="O6" s="145" t="s">
        <v>14</v>
      </c>
      <c r="P6" s="145" t="s">
        <v>15</v>
      </c>
      <c r="R6" s="100" t="s">
        <v>161</v>
      </c>
      <c r="S6" s="100"/>
      <c r="T6" s="100"/>
      <c r="U6" s="100"/>
    </row>
    <row r="7" spans="2:21" s="28" customFormat="1" ht="15">
      <c r="B7" s="123" t="s">
        <v>25</v>
      </c>
      <c r="C7" s="132"/>
      <c r="D7" s="133" t="str">
        <f>M13 &amp; P$7 &amp; R$7 &amp; VLOOKUP(O$7, $O$50:$P$75,2,FALSE) &amp; "E1"</f>
        <v>AGRPHBNGAE1</v>
      </c>
      <c r="E7" s="130" t="str">
        <f>+M10 &amp; " " &amp; S$7 &amp; " - " &amp; T$7 &amp; " " &amp; U$7</f>
        <v>Agriculture Heat Medium Temp. Boiler - Nat. Gas Existing 1</v>
      </c>
      <c r="F7" s="123" t="s">
        <v>44</v>
      </c>
      <c r="G7" s="123" t="s">
        <v>46</v>
      </c>
      <c r="H7" s="123"/>
      <c r="I7" s="134"/>
      <c r="J7" s="123"/>
      <c r="K7" s="180"/>
      <c r="L7" s="56" t="s">
        <v>169</v>
      </c>
      <c r="M7" s="118">
        <v>1</v>
      </c>
      <c r="N7" s="24"/>
      <c r="O7" s="141" t="str">
        <f>Commodities!$D$29&amp;","&amp;Commodities!$D$30&amp;","&amp;Commodities!$D$13</f>
        <v>AGRSNG1,AGRSNG2,AGRNGA</v>
      </c>
      <c r="P7" s="141" t="str">
        <f>+Commodities!$AL$6</f>
        <v>PH</v>
      </c>
      <c r="R7" s="98" t="s">
        <v>162</v>
      </c>
      <c r="S7" s="98" t="s">
        <v>155</v>
      </c>
      <c r="T7" s="98" t="s">
        <v>69</v>
      </c>
      <c r="U7" s="98" t="s">
        <v>154</v>
      </c>
    </row>
    <row r="8" spans="2:21">
      <c r="B8" s="285" t="str">
        <f t="shared" ref="B8:B43" si="0">+IF(ISBLANK(D8),"*","")</f>
        <v/>
      </c>
      <c r="C8" s="123"/>
      <c r="D8" s="133" t="str">
        <f>M13 &amp; P$8 &amp; R$8 &amp; VLOOKUP(O$8, $O$50:$P$75,2,FALSE) &amp; "E1"</f>
        <v>AGRPHBCOAE1</v>
      </c>
      <c r="E8" s="130" t="str">
        <f>+M10 &amp; " " &amp; S$8 &amp; " - " &amp; T$8 &amp; " " &amp; U$8</f>
        <v>Agriculture Heat Medium Temp. Boiler - Coal Existing 1</v>
      </c>
      <c r="F8" s="123" t="s">
        <v>44</v>
      </c>
      <c r="G8" s="123" t="s">
        <v>46</v>
      </c>
      <c r="H8" s="123"/>
      <c r="I8" s="120"/>
      <c r="J8" s="123"/>
      <c r="K8" s="63"/>
      <c r="L8" s="24" t="s">
        <v>128</v>
      </c>
      <c r="O8" s="141" t="str">
        <f>Commodities!$D$14</f>
        <v>AGRCOA</v>
      </c>
      <c r="P8" s="142" t="str">
        <f>+Commodities!$AL$6</f>
        <v>PH</v>
      </c>
      <c r="R8" s="96" t="str">
        <f t="shared" ref="R8:S10" si="1">+R$7</f>
        <v>B</v>
      </c>
      <c r="S8" s="96" t="str">
        <f t="shared" si="1"/>
        <v>Heat Medium Temp. Boiler</v>
      </c>
      <c r="T8" s="98" t="s">
        <v>55</v>
      </c>
      <c r="U8" s="96" t="str">
        <f>+U$7</f>
        <v>Existing 1</v>
      </c>
    </row>
    <row r="9" spans="2:21">
      <c r="B9" s="285" t="str">
        <f t="shared" si="0"/>
        <v/>
      </c>
      <c r="C9" s="123"/>
      <c r="D9" s="133" t="str">
        <f>M13 &amp; P$9 &amp; R$9 &amp; VLOOKUP(O$9, $O$50:$P$75,2,FALSE) &amp; "E1"</f>
        <v>AGRPHBDSLE1</v>
      </c>
      <c r="E9" s="130" t="str">
        <f>+M10 &amp; " " &amp; S$9 &amp; " - " &amp; T$9 &amp; " " &amp; U$9</f>
        <v>Agriculture Heat Medium Temp. Boiler - Diesel Existing 1</v>
      </c>
      <c r="F9" s="123" t="s">
        <v>44</v>
      </c>
      <c r="G9" s="123" t="s">
        <v>46</v>
      </c>
      <c r="H9" s="123"/>
      <c r="I9" s="123"/>
      <c r="J9" s="123"/>
      <c r="K9" s="63"/>
      <c r="L9" s="56" t="s">
        <v>171</v>
      </c>
      <c r="M9" s="58" t="s">
        <v>133</v>
      </c>
      <c r="O9" s="141" t="str">
        <f>Commodities!$D$27&amp;","&amp;Commodities!$D$28&amp;","&amp;Commodities!$D$15</f>
        <v>AGRDSB1,AGRDSB2,AGRDSL</v>
      </c>
      <c r="P9" s="142" t="str">
        <f>+Commodities!$AL$6</f>
        <v>PH</v>
      </c>
      <c r="R9" s="96" t="str">
        <f t="shared" si="1"/>
        <v>B</v>
      </c>
      <c r="S9" s="96" t="str">
        <f t="shared" si="1"/>
        <v>Heat Medium Temp. Boiler</v>
      </c>
      <c r="T9" s="98" t="s">
        <v>68</v>
      </c>
      <c r="U9" s="96" t="str">
        <f>+U$7</f>
        <v>Existing 1</v>
      </c>
    </row>
    <row r="10" spans="2:21">
      <c r="B10" s="285" t="str">
        <f t="shared" si="0"/>
        <v/>
      </c>
      <c r="C10" s="123"/>
      <c r="D10" s="133" t="str">
        <f>M13 &amp; P$10 &amp; R$10 &amp; VLOOKUP(O$10, $O$50:$P$75,2,FALSE) &amp; "E1"</f>
        <v>AGRPHBWPEE1</v>
      </c>
      <c r="E10" s="130" t="str">
        <f>+M10 &amp; " " &amp; S$10 &amp; " - " &amp; T$10 &amp; " " &amp; U$10</f>
        <v>Agriculture Heat Medium Temp. Boiler - Wood Pellets Existing 1</v>
      </c>
      <c r="F10" s="123" t="s">
        <v>44</v>
      </c>
      <c r="G10" s="123" t="s">
        <v>46</v>
      </c>
      <c r="H10" s="123"/>
      <c r="I10" s="123"/>
      <c r="J10" s="123"/>
      <c r="K10" s="63"/>
      <c r="L10" s="56" t="s">
        <v>174</v>
      </c>
      <c r="M10" s="64" t="str">
        <f>+INDEX(Commodities!$X$6:$X$6,M7)</f>
        <v>Agriculture</v>
      </c>
      <c r="O10" s="141" t="str">
        <f>Commodities!$D$16</f>
        <v>AGRWPE</v>
      </c>
      <c r="P10" s="142" t="str">
        <f>+Commodities!$AL$6</f>
        <v>PH</v>
      </c>
      <c r="R10" s="96" t="str">
        <f t="shared" si="1"/>
        <v>B</v>
      </c>
      <c r="S10" s="96" t="str">
        <f t="shared" si="1"/>
        <v>Heat Medium Temp. Boiler</v>
      </c>
      <c r="T10" s="98" t="s">
        <v>159</v>
      </c>
      <c r="U10" s="96" t="str">
        <f>+U$7</f>
        <v>Existing 1</v>
      </c>
    </row>
    <row r="11" spans="2:21">
      <c r="B11" s="123" t="str">
        <f t="shared" si="0"/>
        <v>*</v>
      </c>
      <c r="C11" s="123"/>
      <c r="D11" s="133"/>
      <c r="E11" s="130"/>
      <c r="F11" s="123"/>
      <c r="G11" s="123"/>
      <c r="H11" s="123"/>
      <c r="I11" s="123"/>
      <c r="J11" s="123"/>
      <c r="K11" s="63"/>
      <c r="L11" s="56" t="s">
        <v>128</v>
      </c>
      <c r="M11" s="64" t="str">
        <f>+INDEX(Commodities!$Y$6:$Y$6,M7)</f>
        <v xml:space="preserve">Agriculture, forestry and fishing </v>
      </c>
      <c r="O11" s="141" t="str">
        <f>Commodities!$D$17</f>
        <v>AGRWCH</v>
      </c>
      <c r="P11" s="142"/>
      <c r="R11" s="96"/>
      <c r="S11" s="96"/>
      <c r="T11" s="96"/>
      <c r="U11" s="96"/>
    </row>
    <row r="12" spans="2:21">
      <c r="B12" s="285" t="str">
        <f t="shared" si="0"/>
        <v/>
      </c>
      <c r="C12" s="123"/>
      <c r="D12" s="133" t="str">
        <f>M13 &amp; P$12 &amp; R$12 &amp; VLOOKUP(O$12, $O$50:$P$75,2,FALSE) &amp; "E1"</f>
        <v>AGRPHBBGAE1</v>
      </c>
      <c r="E12" s="130" t="str">
        <f>+M10 &amp; " " &amp; S$12 &amp; " - " &amp; T$12 &amp; " " &amp; U$12</f>
        <v>Agriculture Heat Medium Temp. Boiler - Biogas Existing 1</v>
      </c>
      <c r="F12" s="123" t="s">
        <v>44</v>
      </c>
      <c r="G12" s="123" t="s">
        <v>46</v>
      </c>
      <c r="H12" s="123"/>
      <c r="I12" s="123"/>
      <c r="J12" s="123"/>
      <c r="K12" s="63"/>
      <c r="L12" s="56" t="s">
        <v>170</v>
      </c>
      <c r="M12" s="64" t="str">
        <f>+INDEX(Commodities!$U$6:$U$6,M7)</f>
        <v>AG</v>
      </c>
      <c r="O12" s="141" t="str">
        <f>Commodities!$D$18</f>
        <v>AGRBGA</v>
      </c>
      <c r="P12" s="141" t="str">
        <f>+Commodities!$AL$6</f>
        <v>PH</v>
      </c>
      <c r="R12" s="96" t="str">
        <f t="shared" ref="R12:S16" si="2">+R$7</f>
        <v>B</v>
      </c>
      <c r="S12" s="96" t="str">
        <f t="shared" si="2"/>
        <v>Heat Medium Temp. Boiler</v>
      </c>
      <c r="T12" s="98" t="s">
        <v>77</v>
      </c>
      <c r="U12" s="96" t="str">
        <f>+U$7</f>
        <v>Existing 1</v>
      </c>
    </row>
    <row r="13" spans="2:21">
      <c r="B13" s="285" t="str">
        <f t="shared" si="0"/>
        <v/>
      </c>
      <c r="C13" s="123"/>
      <c r="D13" s="133" t="str">
        <f>M13 &amp; P$13 &amp; R$13 &amp; VLOOKUP(O$13, $O$50:$P$75,2,FALSE) &amp; "E1"</f>
        <v>AGRPHBHFOE1</v>
      </c>
      <c r="E13" s="130" t="str">
        <f>+M10 &amp; " " &amp; S$13 &amp; " - " &amp; T$13 &amp; " " &amp; U$13</f>
        <v>Agriculture Heat Medium Temp. Boiler - Heavy Fuel Oil Existing 1</v>
      </c>
      <c r="F13" s="123" t="s">
        <v>44</v>
      </c>
      <c r="G13" s="123" t="s">
        <v>46</v>
      </c>
      <c r="H13" s="123"/>
      <c r="I13" s="123"/>
      <c r="J13" s="123"/>
      <c r="K13" s="63"/>
      <c r="L13" s="56" t="s">
        <v>170</v>
      </c>
      <c r="M13" s="64" t="str">
        <f>+INDEX(Commodities!$W$6:$W$6,M7)</f>
        <v>AGR</v>
      </c>
      <c r="O13" s="141" t="str">
        <f>Commodities!$D$19</f>
        <v>AGRHFO</v>
      </c>
      <c r="P13" s="141" t="str">
        <f>+Commodities!$AL$6</f>
        <v>PH</v>
      </c>
      <c r="R13" s="96" t="str">
        <f t="shared" si="2"/>
        <v>B</v>
      </c>
      <c r="S13" s="96" t="str">
        <f t="shared" si="2"/>
        <v>Heat Medium Temp. Boiler</v>
      </c>
      <c r="T13" s="98" t="s">
        <v>111</v>
      </c>
      <c r="U13" s="96" t="str">
        <f>+U$7</f>
        <v>Existing 1</v>
      </c>
    </row>
    <row r="14" spans="2:21">
      <c r="B14" s="285" t="str">
        <f t="shared" si="0"/>
        <v/>
      </c>
      <c r="C14" s="123"/>
      <c r="D14" s="133" t="str">
        <f>M13 &amp; P$14 &amp; R$14 &amp; VLOOKUP(O$14, $O$50:$P$75,2,FALSE) &amp; "E1"</f>
        <v>AGRPHBLPGE1</v>
      </c>
      <c r="E14" s="130" t="str">
        <f>+M10 &amp; " " &amp; S$14 &amp; " - " &amp; T$14 &amp; " " &amp; U$14</f>
        <v>Agriculture Heat Medium Temp. Boiler - Liquified Petroleum Gas Existing 1</v>
      </c>
      <c r="F14" s="123" t="s">
        <v>44</v>
      </c>
      <c r="G14" s="123" t="s">
        <v>46</v>
      </c>
      <c r="H14" s="123"/>
      <c r="I14" s="123"/>
      <c r="J14" s="123"/>
      <c r="K14" s="63"/>
      <c r="O14" s="141" t="str">
        <f>Commodities!$D$20</f>
        <v>AGRLPG</v>
      </c>
      <c r="P14" s="141" t="str">
        <f>+Commodities!$AL$6</f>
        <v>PH</v>
      </c>
      <c r="R14" s="96" t="str">
        <f t="shared" si="2"/>
        <v>B</v>
      </c>
      <c r="S14" s="96" t="str">
        <f t="shared" si="2"/>
        <v>Heat Medium Temp. Boiler</v>
      </c>
      <c r="T14" s="98" t="s">
        <v>246</v>
      </c>
      <c r="U14" s="96" t="str">
        <f>+U$7</f>
        <v>Existing 1</v>
      </c>
    </row>
    <row r="15" spans="2:21">
      <c r="B15" s="285" t="str">
        <f t="shared" si="0"/>
        <v/>
      </c>
      <c r="C15" s="123"/>
      <c r="D15" s="133" t="str">
        <f>M13 &amp; P$15 &amp; R$15 &amp; VLOOKUP(O$15, $O$50:$P$75,2,FALSE) &amp; "E1"</f>
        <v>AGRPHBWSTE1</v>
      </c>
      <c r="E15" s="130" t="str">
        <f>+M10 &amp; " " &amp; S$15 &amp; " - " &amp; T$15 &amp; " " &amp; U$15</f>
        <v>Agriculture Heat Medium Temp. Boiler - Waste Existing 1</v>
      </c>
      <c r="F15" s="123" t="s">
        <v>44</v>
      </c>
      <c r="G15" s="123" t="s">
        <v>46</v>
      </c>
      <c r="H15" s="123"/>
      <c r="I15" s="123"/>
      <c r="J15" s="123"/>
      <c r="K15" s="63"/>
      <c r="O15" s="141" t="str">
        <f>Commodities!$D$21</f>
        <v>AGRWST</v>
      </c>
      <c r="P15" s="141" t="str">
        <f>+Commodities!$AL$6</f>
        <v>PH</v>
      </c>
      <c r="R15" s="96" t="str">
        <f t="shared" si="2"/>
        <v>B</v>
      </c>
      <c r="S15" s="96" t="str">
        <f t="shared" si="2"/>
        <v>Heat Medium Temp. Boiler</v>
      </c>
      <c r="T15" s="98" t="s">
        <v>80</v>
      </c>
      <c r="U15" s="96" t="str">
        <f>+U$7</f>
        <v>Existing 1</v>
      </c>
    </row>
    <row r="16" spans="2:21">
      <c r="B16" s="285" t="str">
        <f t="shared" si="0"/>
        <v/>
      </c>
      <c r="C16" s="123"/>
      <c r="D16" s="133" t="str">
        <f>M13 &amp; P$16 &amp; R$16 &amp; VLOOKUP(O$16, $O$50:$P$75,2,FALSE) &amp; "E1"</f>
        <v>AGRPHBHETE1</v>
      </c>
      <c r="E16" s="130" t="str">
        <f>+M10 &amp; " " &amp; S$16 &amp; " - " &amp; T$16 &amp; " " &amp; U$16</f>
        <v>Agriculture Heat Medium Temp. Boiler - Dist. Heat Existing 1</v>
      </c>
      <c r="F16" s="123" t="s">
        <v>44</v>
      </c>
      <c r="G16" s="123" t="s">
        <v>46</v>
      </c>
      <c r="H16" s="123"/>
      <c r="I16" s="123"/>
      <c r="J16" s="123"/>
      <c r="K16" s="63"/>
      <c r="O16" s="141" t="str">
        <f>Commodities!$D$22</f>
        <v>AGRHCE</v>
      </c>
      <c r="P16" s="141" t="str">
        <f>+Commodities!$AL$6</f>
        <v>PH</v>
      </c>
      <c r="R16" s="96" t="str">
        <f t="shared" si="2"/>
        <v>B</v>
      </c>
      <c r="S16" s="96" t="str">
        <f t="shared" si="2"/>
        <v>Heat Medium Temp. Boiler</v>
      </c>
      <c r="T16" s="98" t="s">
        <v>165</v>
      </c>
      <c r="U16" s="96" t="str">
        <f>+U$7</f>
        <v>Existing 1</v>
      </c>
    </row>
    <row r="17" spans="2:21">
      <c r="B17" s="285" t="str">
        <f t="shared" si="0"/>
        <v>*</v>
      </c>
      <c r="C17" s="123"/>
      <c r="D17" s="133"/>
      <c r="E17" s="130"/>
      <c r="F17" s="123"/>
      <c r="G17" s="123"/>
      <c r="H17" s="123"/>
      <c r="I17" s="123"/>
      <c r="J17" s="123"/>
      <c r="K17" s="63"/>
      <c r="O17" s="141" t="str">
        <f>Commodities!$D$24</f>
        <v>AGRHDE</v>
      </c>
      <c r="P17" s="142"/>
      <c r="R17" s="96"/>
      <c r="S17" s="96"/>
      <c r="T17" s="96"/>
      <c r="U17" s="96"/>
    </row>
    <row r="18" spans="2:21">
      <c r="B18" s="285" t="str">
        <f t="shared" si="0"/>
        <v/>
      </c>
      <c r="C18" s="123"/>
      <c r="D18" s="131" t="str">
        <f>M13 &amp; P$18 &amp; R$18 &amp; VLOOKUP(O$18, $O$50:$P$75,2,FALSE) &amp; "E1"</f>
        <v>AGRPHBELCE1</v>
      </c>
      <c r="E18" s="131" t="str">
        <f>+M10 &amp; " " &amp; S$18 &amp; " - " &amp; T$18 &amp; " " &amp; U$18</f>
        <v>Agriculture Heat Medium Temp. Boiler - Electricity Existing 1</v>
      </c>
      <c r="F18" s="126" t="s">
        <v>44</v>
      </c>
      <c r="G18" s="126" t="s">
        <v>46</v>
      </c>
      <c r="H18" s="126"/>
      <c r="I18" s="126"/>
      <c r="J18" s="126"/>
      <c r="K18" s="63"/>
      <c r="O18" s="143" t="str">
        <f>Commodities!$D$25</f>
        <v>AGRELC</v>
      </c>
      <c r="P18" s="143" t="str">
        <f>+Commodities!$AL$6</f>
        <v>PH</v>
      </c>
      <c r="R18" s="97" t="str">
        <f>+R$7</f>
        <v>B</v>
      </c>
      <c r="S18" s="97" t="str">
        <f>+S$7</f>
        <v>Heat Medium Temp. Boiler</v>
      </c>
      <c r="T18" s="99" t="s">
        <v>50</v>
      </c>
      <c r="U18" s="97" t="str">
        <f t="shared" ref="U18:U31" si="3">+U$7</f>
        <v>Existing 1</v>
      </c>
    </row>
    <row r="19" spans="2:21">
      <c r="B19" s="285" t="str">
        <f t="shared" si="0"/>
        <v/>
      </c>
      <c r="C19" s="123"/>
      <c r="D19" s="130" t="str">
        <f>M13 &amp; P$19 &amp; R$19 &amp; VLOOKUP(O$19, $O$50:$P$75,2,FALSE) &amp; "E1"</f>
        <v>AGRCOBNGAE1</v>
      </c>
      <c r="E19" s="130" t="str">
        <f>+M10 &amp; " " &amp; S$19 &amp; " - " &amp; T$19 &amp; " " &amp; U$19</f>
        <v>Agriculture Heat High Temp. Boiler - Nat. Gas Existing 1</v>
      </c>
      <c r="F19" s="123" t="s">
        <v>44</v>
      </c>
      <c r="G19" s="123" t="s">
        <v>46</v>
      </c>
      <c r="H19" s="123"/>
      <c r="I19" s="123"/>
      <c r="J19" s="123"/>
      <c r="K19" s="63"/>
      <c r="O19" s="141" t="str">
        <f>Commodities!$D$29&amp;","&amp;Commodities!$D$30&amp;","&amp;Commodities!$D$13</f>
        <v>AGRSNG1,AGRSNG2,AGRNGA</v>
      </c>
      <c r="P19" s="141" t="str">
        <f>+Commodities!$AL$7</f>
        <v>CO</v>
      </c>
      <c r="R19" s="96" t="str">
        <f t="shared" ref="R19:R31" si="4">+R$7</f>
        <v>B</v>
      </c>
      <c r="S19" s="98" t="s">
        <v>156</v>
      </c>
      <c r="T19" s="98" t="str">
        <f>+T$7</f>
        <v>Nat. Gas</v>
      </c>
      <c r="U19" s="96" t="str">
        <f t="shared" si="3"/>
        <v>Existing 1</v>
      </c>
    </row>
    <row r="20" spans="2:21">
      <c r="B20" s="285" t="str">
        <f t="shared" si="0"/>
        <v/>
      </c>
      <c r="C20" s="123"/>
      <c r="D20" s="130" t="str">
        <f>M13 &amp; P$20 &amp; R$20 &amp; VLOOKUP(O$20, $O$50:$P$75,2,FALSE) &amp; "E1"</f>
        <v>AGRCOBCOAE1</v>
      </c>
      <c r="E20" s="130" t="str">
        <f>+M10 &amp; " " &amp; S$20 &amp; " - " &amp; T$20 &amp; " " &amp; U$20</f>
        <v>Agriculture Heat High Temp. Boiler - Coal Existing 1</v>
      </c>
      <c r="F20" s="123" t="s">
        <v>44</v>
      </c>
      <c r="G20" s="123" t="s">
        <v>46</v>
      </c>
      <c r="H20" s="123"/>
      <c r="I20" s="123"/>
      <c r="J20" s="123"/>
      <c r="K20" s="63"/>
      <c r="O20" s="141" t="str">
        <f>Commodities!$D$14</f>
        <v>AGRCOA</v>
      </c>
      <c r="P20" s="141" t="str">
        <f>+Commodities!$AL$7</f>
        <v>CO</v>
      </c>
      <c r="R20" s="96" t="str">
        <f t="shared" si="4"/>
        <v>B</v>
      </c>
      <c r="S20" s="96" t="str">
        <f>$S$19</f>
        <v>Heat High Temp. Boiler</v>
      </c>
      <c r="T20" s="98" t="s">
        <v>55</v>
      </c>
      <c r="U20" s="96" t="str">
        <f>+U$7</f>
        <v>Existing 1</v>
      </c>
    </row>
    <row r="21" spans="2:21">
      <c r="B21" s="285" t="str">
        <f t="shared" si="0"/>
        <v/>
      </c>
      <c r="C21" s="123"/>
      <c r="D21" s="130" t="str">
        <f>M13 &amp; P$21 &amp; R$21 &amp; VLOOKUP(O$21, $O$50:$P$75,2,FALSE) &amp; "E1"</f>
        <v>AGRCOBDSLE1</v>
      </c>
      <c r="E21" s="130" t="str">
        <f>+M10 &amp; " " &amp; S$21 &amp; " - " &amp; T$21 &amp; " " &amp; U$21</f>
        <v>Agriculture Heat High Temp. Boiler - Diesel Existing 1</v>
      </c>
      <c r="F21" s="123" t="s">
        <v>44</v>
      </c>
      <c r="G21" s="123" t="s">
        <v>46</v>
      </c>
      <c r="H21" s="123"/>
      <c r="I21" s="123"/>
      <c r="J21" s="123"/>
      <c r="K21" s="63"/>
      <c r="O21" s="141" t="str">
        <f>Commodities!$D$27&amp;","&amp;Commodities!$D$28&amp;","&amp;Commodities!$D$15</f>
        <v>AGRDSB1,AGRDSB2,AGRDSL</v>
      </c>
      <c r="P21" s="141" t="str">
        <f>+Commodities!$AL$7</f>
        <v>CO</v>
      </c>
      <c r="R21" s="96" t="str">
        <f t="shared" si="4"/>
        <v>B</v>
      </c>
      <c r="S21" s="96" t="str">
        <f t="shared" ref="S21:S27" si="5">$S$19</f>
        <v>Heat High Temp. Boiler</v>
      </c>
      <c r="T21" s="98" t="s">
        <v>68</v>
      </c>
      <c r="U21" s="96" t="str">
        <f>+U$7</f>
        <v>Existing 1</v>
      </c>
    </row>
    <row r="22" spans="2:21">
      <c r="B22" s="285" t="str">
        <f t="shared" si="0"/>
        <v/>
      </c>
      <c r="C22" s="123"/>
      <c r="D22" s="130" t="str">
        <f>M13 &amp; P$22 &amp; R$22 &amp; VLOOKUP(O$22, $O$50:$P$75,2,FALSE) &amp; "E1"</f>
        <v>AGRCOBWPEE1</v>
      </c>
      <c r="E22" s="130" t="str">
        <f>+M10 &amp; " " &amp; S$22 &amp; " - " &amp; T$22 &amp; " " &amp; U$22</f>
        <v>Agriculture Heat High Temp. Boiler - Wood Pellets Existing 1</v>
      </c>
      <c r="F22" s="123" t="s">
        <v>44</v>
      </c>
      <c r="G22" s="123" t="s">
        <v>46</v>
      </c>
      <c r="H22" s="123"/>
      <c r="I22" s="123"/>
      <c r="J22" s="123"/>
      <c r="K22" s="63"/>
      <c r="O22" s="141" t="str">
        <f>Commodities!$D$16</f>
        <v>AGRWPE</v>
      </c>
      <c r="P22" s="141" t="str">
        <f>+Commodities!$AL$7</f>
        <v>CO</v>
      </c>
      <c r="R22" s="96" t="str">
        <f t="shared" si="4"/>
        <v>B</v>
      </c>
      <c r="S22" s="96" t="str">
        <f t="shared" si="5"/>
        <v>Heat High Temp. Boiler</v>
      </c>
      <c r="T22" s="98" t="s">
        <v>159</v>
      </c>
      <c r="U22" s="96" t="str">
        <f>+U$7</f>
        <v>Existing 1</v>
      </c>
    </row>
    <row r="23" spans="2:21">
      <c r="B23" s="285" t="str">
        <f t="shared" si="0"/>
        <v>*</v>
      </c>
      <c r="C23" s="123"/>
      <c r="D23" s="130"/>
      <c r="E23" s="130"/>
      <c r="F23" s="123"/>
      <c r="G23" s="123"/>
      <c r="H23" s="123"/>
      <c r="I23" s="123"/>
      <c r="J23" s="123"/>
      <c r="K23" s="63"/>
      <c r="O23" s="141" t="str">
        <f>Commodities!$D$17</f>
        <v>AGRWCH</v>
      </c>
      <c r="P23" s="141"/>
      <c r="R23" s="96"/>
      <c r="S23" s="96"/>
      <c r="T23" s="98"/>
      <c r="U23" s="96"/>
    </row>
    <row r="24" spans="2:21">
      <c r="B24" s="285" t="str">
        <f t="shared" si="0"/>
        <v/>
      </c>
      <c r="C24" s="123"/>
      <c r="D24" s="130" t="str">
        <f>M13 &amp; P$24 &amp; R$24 &amp; VLOOKUP(O$24, $O$50:$P$75,2,FALSE) &amp; "E1"</f>
        <v>AGRCOBHFOE1</v>
      </c>
      <c r="E24" s="130" t="str">
        <f>+M10 &amp; " " &amp; S$24 &amp; " - " &amp; T$24 &amp; " " &amp; U$24</f>
        <v>Agriculture Heat High Temp. Boiler - Heavy Fuel Oil Existing 1</v>
      </c>
      <c r="F24" s="123" t="s">
        <v>44</v>
      </c>
      <c r="G24" s="123" t="s">
        <v>46</v>
      </c>
      <c r="H24" s="123"/>
      <c r="I24" s="123"/>
      <c r="J24" s="123"/>
      <c r="K24" s="63"/>
      <c r="O24" s="141" t="str">
        <f>Commodities!$D$19</f>
        <v>AGRHFO</v>
      </c>
      <c r="P24" s="141" t="str">
        <f>+Commodities!$AL$7</f>
        <v>CO</v>
      </c>
      <c r="R24" s="96" t="str">
        <f t="shared" si="4"/>
        <v>B</v>
      </c>
      <c r="S24" s="96" t="str">
        <f t="shared" si="5"/>
        <v>Heat High Temp. Boiler</v>
      </c>
      <c r="T24" s="98" t="s">
        <v>111</v>
      </c>
      <c r="U24" s="96" t="str">
        <f>+U$7</f>
        <v>Existing 1</v>
      </c>
    </row>
    <row r="25" spans="2:21">
      <c r="B25" s="285" t="str">
        <f t="shared" si="0"/>
        <v/>
      </c>
      <c r="C25" s="123"/>
      <c r="D25" s="130" t="str">
        <f>M13 &amp; P$25 &amp; R$25 &amp; VLOOKUP(O$25, $O$50:$P$75,2,FALSE) &amp; "E1"</f>
        <v>AGRCOBLPGE1</v>
      </c>
      <c r="E25" s="130" t="str">
        <f>+M10 &amp; " " &amp; S$25 &amp; " - " &amp; T$25 &amp; " " &amp; U$25</f>
        <v>Agriculture Heat High Temp. Boiler - Liquified Petroleum Gas Existing 1</v>
      </c>
      <c r="F25" s="123" t="s">
        <v>44</v>
      </c>
      <c r="G25" s="123" t="s">
        <v>46</v>
      </c>
      <c r="H25" s="123"/>
      <c r="I25" s="123"/>
      <c r="J25" s="123"/>
      <c r="K25" s="63"/>
      <c r="O25" s="141" t="str">
        <f>Commodities!$D$20</f>
        <v>AGRLPG</v>
      </c>
      <c r="P25" s="141" t="str">
        <f>+Commodities!$AL$7</f>
        <v>CO</v>
      </c>
      <c r="R25" s="96" t="str">
        <f t="shared" si="4"/>
        <v>B</v>
      </c>
      <c r="S25" s="96" t="str">
        <f t="shared" si="5"/>
        <v>Heat High Temp. Boiler</v>
      </c>
      <c r="T25" s="98" t="s">
        <v>246</v>
      </c>
      <c r="U25" s="96" t="str">
        <f>+U$7</f>
        <v>Existing 1</v>
      </c>
    </row>
    <row r="26" spans="2:21">
      <c r="B26" s="285" t="str">
        <f t="shared" si="0"/>
        <v/>
      </c>
      <c r="C26" s="123"/>
      <c r="D26" s="130" t="str">
        <f>M13 &amp; P$26 &amp; R$26 &amp; VLOOKUP(O$26, $O$50:$P$75,2,FALSE) &amp; "E1"</f>
        <v>AGRCOBWSTE1</v>
      </c>
      <c r="E26" s="130" t="str">
        <f>+M10 &amp; " " &amp; S$26 &amp; " - " &amp; T$26 &amp; " " &amp; U$26</f>
        <v>Agriculture Heat High Temp. Boiler - Waste Existing 1</v>
      </c>
      <c r="F26" s="123" t="s">
        <v>44</v>
      </c>
      <c r="G26" s="123" t="s">
        <v>46</v>
      </c>
      <c r="H26" s="123"/>
      <c r="I26" s="123"/>
      <c r="J26" s="123"/>
      <c r="K26" s="63"/>
      <c r="O26" s="141" t="str">
        <f>Commodities!$D$21</f>
        <v>AGRWST</v>
      </c>
      <c r="P26" s="141" t="str">
        <f>+Commodities!$AL$7</f>
        <v>CO</v>
      </c>
      <c r="R26" s="96" t="str">
        <f t="shared" si="4"/>
        <v>B</v>
      </c>
      <c r="S26" s="96" t="str">
        <f t="shared" si="5"/>
        <v>Heat High Temp. Boiler</v>
      </c>
      <c r="T26" s="98" t="s">
        <v>80</v>
      </c>
      <c r="U26" s="96" t="s">
        <v>154</v>
      </c>
    </row>
    <row r="27" spans="2:21">
      <c r="B27" s="285" t="str">
        <f t="shared" si="0"/>
        <v/>
      </c>
      <c r="C27" s="123"/>
      <c r="D27" s="131" t="str">
        <f>M13 &amp; P$27 &amp; R$27 &amp; VLOOKUP(O$27, $O$50:$P$75,2,FALSE) &amp; "E1"</f>
        <v>AGRCOBELCE1</v>
      </c>
      <c r="E27" s="131" t="str">
        <f>+M10 &amp; " " &amp; S$27 &amp; " - " &amp; T$27 &amp; " " &amp; U$27</f>
        <v>Agriculture Heat High Temp. Boiler - Electricity Existing 1</v>
      </c>
      <c r="F27" s="126" t="s">
        <v>44</v>
      </c>
      <c r="G27" s="126" t="s">
        <v>46</v>
      </c>
      <c r="H27" s="126"/>
      <c r="I27" s="126"/>
      <c r="J27" s="126"/>
      <c r="K27" s="63"/>
      <c r="O27" s="143" t="str">
        <f>Commodities!$D$25</f>
        <v>AGRELC</v>
      </c>
      <c r="P27" s="143" t="str">
        <f>+Commodities!$AL$7</f>
        <v>CO</v>
      </c>
      <c r="R27" s="97" t="str">
        <f t="shared" si="4"/>
        <v>B</v>
      </c>
      <c r="S27" s="97" t="str">
        <f t="shared" si="5"/>
        <v>Heat High Temp. Boiler</v>
      </c>
      <c r="T27" s="99" t="s">
        <v>50</v>
      </c>
      <c r="U27" s="97" t="s">
        <v>154</v>
      </c>
    </row>
    <row r="28" spans="2:21">
      <c r="B28" s="285" t="str">
        <f t="shared" si="0"/>
        <v/>
      </c>
      <c r="C28" s="123"/>
      <c r="D28" s="133" t="str">
        <f>M13 &amp; P$28 &amp; R$28 &amp; VLOOKUP(O$28, $O$50:$P$75,2,FALSE) &amp; "E1"</f>
        <v>AGRSHBNGAE1</v>
      </c>
      <c r="E28" s="130" t="str">
        <f>+M10 &amp; " " &amp; S$28 &amp; " - " &amp; T$28 &amp; " " &amp; U$28</f>
        <v>Agriculture Heat Room Boiler - Nat. Gas Existing 1</v>
      </c>
      <c r="F28" s="123" t="s">
        <v>44</v>
      </c>
      <c r="G28" s="123" t="s">
        <v>46</v>
      </c>
      <c r="H28" s="123"/>
      <c r="I28" s="123"/>
      <c r="J28" s="123"/>
      <c r="K28" s="63"/>
      <c r="O28" s="141" t="str">
        <f>Commodities!$D$29&amp;","&amp;Commodities!$D$30&amp;","&amp;Commodities!$D$13</f>
        <v>AGRSNG1,AGRSNG2,AGRNGA</v>
      </c>
      <c r="P28" s="141" t="str">
        <f>+Commodities!$AL$8</f>
        <v>SH</v>
      </c>
      <c r="R28" s="96" t="str">
        <f t="shared" si="4"/>
        <v>B</v>
      </c>
      <c r="S28" s="98" t="s">
        <v>160</v>
      </c>
      <c r="T28" s="96" t="str">
        <f>+T7</f>
        <v>Nat. Gas</v>
      </c>
      <c r="U28" s="96" t="str">
        <f t="shared" si="3"/>
        <v>Existing 1</v>
      </c>
    </row>
    <row r="29" spans="2:21">
      <c r="B29" s="285" t="str">
        <f t="shared" si="0"/>
        <v/>
      </c>
      <c r="C29" s="123"/>
      <c r="D29" s="133" t="str">
        <f>M13 &amp; P$29 &amp; R$29 &amp; VLOOKUP(O$29, $O$50:$P$75,2,FALSE) &amp; "E1"</f>
        <v>AGRSHBCOAE1</v>
      </c>
      <c r="E29" s="130" t="str">
        <f>+M10 &amp; " " &amp; S$29 &amp; " - " &amp; T$29 &amp; " " &amp; U$29</f>
        <v>Agriculture Heat Room Boiler - Coal Existing 1</v>
      </c>
      <c r="F29" s="123" t="s">
        <v>44</v>
      </c>
      <c r="G29" s="123" t="s">
        <v>46</v>
      </c>
      <c r="H29" s="123"/>
      <c r="I29" s="123"/>
      <c r="J29" s="123"/>
      <c r="K29" s="63"/>
      <c r="O29" s="141" t="str">
        <f>Commodities!$D$14</f>
        <v>AGRCOA</v>
      </c>
      <c r="P29" s="141" t="str">
        <f>+Commodities!$AL$8</f>
        <v>SH</v>
      </c>
      <c r="R29" s="96" t="str">
        <f t="shared" si="4"/>
        <v>B</v>
      </c>
      <c r="S29" s="96" t="str">
        <f>+S$28</f>
        <v>Heat Room Boiler</v>
      </c>
      <c r="T29" s="96" t="str">
        <f>+T8</f>
        <v>Coal</v>
      </c>
      <c r="U29" s="96" t="str">
        <f t="shared" si="3"/>
        <v>Existing 1</v>
      </c>
    </row>
    <row r="30" spans="2:21">
      <c r="B30" s="285" t="str">
        <f t="shared" si="0"/>
        <v/>
      </c>
      <c r="C30" s="123"/>
      <c r="D30" s="133" t="str">
        <f>M13 &amp; P$30 &amp; R$30 &amp; VLOOKUP(O$30, $O$50:$P$75,2,FALSE) &amp; "E1"</f>
        <v>AGRSHBDSLE1</v>
      </c>
      <c r="E30" s="130" t="str">
        <f>+M10 &amp; " " &amp; S$30 &amp; " - " &amp; T$30 &amp; " " &amp; U$30</f>
        <v>Agriculture Heat Room Boiler - Diesel Existing 1</v>
      </c>
      <c r="F30" s="123" t="s">
        <v>44</v>
      </c>
      <c r="G30" s="123" t="s">
        <v>46</v>
      </c>
      <c r="H30" s="123"/>
      <c r="I30" s="123"/>
      <c r="J30" s="123"/>
      <c r="K30" s="63"/>
      <c r="O30" s="141" t="str">
        <f>Commodities!$D$27&amp;","&amp;Commodities!$D$28&amp;","&amp;Commodities!$D$15</f>
        <v>AGRDSB1,AGRDSB2,AGRDSL</v>
      </c>
      <c r="P30" s="141" t="str">
        <f>+Commodities!$AL$8</f>
        <v>SH</v>
      </c>
      <c r="R30" s="96" t="str">
        <f t="shared" si="4"/>
        <v>B</v>
      </c>
      <c r="S30" s="96" t="str">
        <f>+S$28</f>
        <v>Heat Room Boiler</v>
      </c>
      <c r="T30" s="96" t="str">
        <f>+T9</f>
        <v>Diesel</v>
      </c>
      <c r="U30" s="96" t="str">
        <f t="shared" si="3"/>
        <v>Existing 1</v>
      </c>
    </row>
    <row r="31" spans="2:21">
      <c r="B31" s="285" t="str">
        <f t="shared" si="0"/>
        <v/>
      </c>
      <c r="C31" s="123"/>
      <c r="D31" s="133" t="str">
        <f>M13 &amp; P$31 &amp; R$31 &amp; VLOOKUP(O$31, $O$50:$P$75,2,FALSE) &amp; "E1"</f>
        <v>AGRSHBWPEE1</v>
      </c>
      <c r="E31" s="130" t="str">
        <f>+M10 &amp; " " &amp; S$31 &amp; " - " &amp; T$31 &amp; " " &amp; U$31</f>
        <v>Agriculture Heat Room Boiler - Wood Pellets Existing 1</v>
      </c>
      <c r="F31" s="123" t="s">
        <v>44</v>
      </c>
      <c r="G31" s="123" t="s">
        <v>46</v>
      </c>
      <c r="H31" s="123"/>
      <c r="I31" s="123"/>
      <c r="J31" s="123"/>
      <c r="K31" s="63"/>
      <c r="O31" s="141" t="str">
        <f>Commodities!$D$16</f>
        <v>AGRWPE</v>
      </c>
      <c r="P31" s="141" t="str">
        <f>+Commodities!$AL$8</f>
        <v>SH</v>
      </c>
      <c r="R31" s="96" t="str">
        <f t="shared" si="4"/>
        <v>B</v>
      </c>
      <c r="S31" s="96" t="str">
        <f>+S$28</f>
        <v>Heat Room Boiler</v>
      </c>
      <c r="T31" s="96" t="str">
        <f>+T10</f>
        <v>Wood Pellets</v>
      </c>
      <c r="U31" s="96" t="str">
        <f t="shared" si="3"/>
        <v>Existing 1</v>
      </c>
    </row>
    <row r="32" spans="2:21">
      <c r="B32" s="285" t="str">
        <f t="shared" si="0"/>
        <v>*</v>
      </c>
      <c r="C32" s="123"/>
      <c r="D32" s="133"/>
      <c r="E32" s="130"/>
      <c r="F32" s="123"/>
      <c r="G32" s="123"/>
      <c r="H32" s="123"/>
      <c r="I32" s="123"/>
      <c r="J32" s="123"/>
      <c r="K32" s="63"/>
      <c r="O32" s="141" t="str">
        <f>Commodities!$D$17</f>
        <v>AGRWCH</v>
      </c>
      <c r="P32" s="141"/>
      <c r="R32" s="96"/>
      <c r="S32" s="96"/>
      <c r="T32" s="96"/>
      <c r="U32" s="96"/>
    </row>
    <row r="33" spans="1:21">
      <c r="B33" s="285" t="str">
        <f t="shared" si="0"/>
        <v/>
      </c>
      <c r="C33" s="123"/>
      <c r="D33" s="133" t="str">
        <f>M13 &amp; P$33 &amp; R$33 &amp; VLOOKUP(O$33, $O$50:$P$75,2,FALSE) &amp; "E1"</f>
        <v>AGRSHBBGAE1</v>
      </c>
      <c r="E33" s="130" t="str">
        <f>+M10 &amp; " " &amp; S$33 &amp; " - " &amp; T$33 &amp; " " &amp; U$33</f>
        <v>Agriculture Heat Room Boiler - Biogas Existing 1</v>
      </c>
      <c r="F33" s="123" t="s">
        <v>44</v>
      </c>
      <c r="G33" s="123" t="s">
        <v>46</v>
      </c>
      <c r="H33" s="123"/>
      <c r="I33" s="123"/>
      <c r="J33" s="123"/>
      <c r="K33" s="63"/>
      <c r="O33" s="141" t="str">
        <f>Commodities!$D$18</f>
        <v>AGRBGA</v>
      </c>
      <c r="P33" s="141" t="str">
        <f>+Commodities!$AL$8</f>
        <v>SH</v>
      </c>
      <c r="R33" s="96" t="str">
        <f>+R$7</f>
        <v>B</v>
      </c>
      <c r="S33" s="96" t="str">
        <f>+S$28</f>
        <v>Heat Room Boiler</v>
      </c>
      <c r="T33" s="96" t="str">
        <f>+T12</f>
        <v>Biogas</v>
      </c>
      <c r="U33" s="96" t="str">
        <f>+U$7</f>
        <v>Existing 1</v>
      </c>
    </row>
    <row r="34" spans="1:21">
      <c r="B34" s="285" t="str">
        <f t="shared" si="0"/>
        <v/>
      </c>
      <c r="C34" s="123"/>
      <c r="D34" s="133" t="str">
        <f>M13 &amp; P$34 &amp; R$34 &amp; VLOOKUP(O$34, $O$50:$P$75,2,FALSE) &amp; "E1"</f>
        <v>AGRSHBHFOE1</v>
      </c>
      <c r="E34" s="130" t="str">
        <f>+M10 &amp; " " &amp; S$34 &amp; " - " &amp; T$34 &amp; " " &amp; U$34</f>
        <v>Agriculture Heat Room Boiler - Heavy Fuel Oil Existing 1</v>
      </c>
      <c r="F34" s="123" t="s">
        <v>44</v>
      </c>
      <c r="G34" s="123" t="s">
        <v>46</v>
      </c>
      <c r="H34" s="123"/>
      <c r="I34" s="123"/>
      <c r="J34" s="123"/>
      <c r="K34" s="63"/>
      <c r="O34" s="141" t="str">
        <f>Commodities!$D$19</f>
        <v>AGRHFO</v>
      </c>
      <c r="P34" s="141" t="str">
        <f>+Commodities!$AL$8</f>
        <v>SH</v>
      </c>
      <c r="R34" s="96" t="str">
        <f>+R$7</f>
        <v>B</v>
      </c>
      <c r="S34" s="96" t="str">
        <f>+S$28</f>
        <v>Heat Room Boiler</v>
      </c>
      <c r="T34" s="96" t="str">
        <f>+T13</f>
        <v>Heavy Fuel Oil</v>
      </c>
      <c r="U34" s="96" t="str">
        <f>+U$7</f>
        <v>Existing 1</v>
      </c>
    </row>
    <row r="35" spans="1:21">
      <c r="B35" s="285" t="str">
        <f t="shared" si="0"/>
        <v/>
      </c>
      <c r="C35" s="123"/>
      <c r="D35" s="133" t="str">
        <f>M13 &amp; P$35 &amp; R$35 &amp; VLOOKUP(O$35, $O$50:$P$75,2,FALSE) &amp; "E1"</f>
        <v>AGRSHBLPGE1</v>
      </c>
      <c r="E35" s="130" t="str">
        <f>+M10 &amp; " " &amp; S$35 &amp; " - " &amp; T$35 &amp; " " &amp; U$35</f>
        <v>Agriculture Heat Room Boiler - Liquified Petroleum Gas Existing 1</v>
      </c>
      <c r="F35" s="123" t="s">
        <v>44</v>
      </c>
      <c r="G35" s="123" t="s">
        <v>46</v>
      </c>
      <c r="H35" s="123"/>
      <c r="I35" s="123"/>
      <c r="J35" s="123"/>
      <c r="K35" s="63"/>
      <c r="O35" s="141" t="str">
        <f>Commodities!$D$20</f>
        <v>AGRLPG</v>
      </c>
      <c r="P35" s="141" t="str">
        <f>+Commodities!$AL$8</f>
        <v>SH</v>
      </c>
      <c r="R35" s="96" t="str">
        <f>+R$7</f>
        <v>B</v>
      </c>
      <c r="S35" s="96" t="str">
        <f>+S$28</f>
        <v>Heat Room Boiler</v>
      </c>
      <c r="T35" s="96" t="str">
        <f>+T14</f>
        <v>Liquified Petroleum Gas</v>
      </c>
      <c r="U35" s="96" t="str">
        <f>+U$7</f>
        <v>Existing 1</v>
      </c>
    </row>
    <row r="36" spans="1:21">
      <c r="B36" s="285" t="str">
        <f t="shared" si="0"/>
        <v/>
      </c>
      <c r="C36" s="123"/>
      <c r="D36" s="133" t="str">
        <f>M13 &amp; P$36 &amp; R$36 &amp; VLOOKUP(O$36, $O$50:$P$75,2,FALSE) &amp; "E1"</f>
        <v>AGRSHBWSTE1</v>
      </c>
      <c r="E36" s="130" t="str">
        <f>+M10 &amp; " " &amp; S$36 &amp; " - " &amp; T$36 &amp; " " &amp; U$36</f>
        <v>Agriculture Heat Room Boiler - Waste Existing 1</v>
      </c>
      <c r="F36" s="123" t="s">
        <v>44</v>
      </c>
      <c r="G36" s="123" t="s">
        <v>46</v>
      </c>
      <c r="H36" s="123"/>
      <c r="I36" s="123"/>
      <c r="J36" s="123"/>
      <c r="K36" s="63"/>
      <c r="O36" s="141" t="str">
        <f>Commodities!$D$21</f>
        <v>AGRWST</v>
      </c>
      <c r="P36" s="141" t="str">
        <f>+Commodities!$AL$8</f>
        <v>SH</v>
      </c>
      <c r="R36" s="96" t="str">
        <f>+R$7</f>
        <v>B</v>
      </c>
      <c r="S36" s="96" t="str">
        <f>+S$28</f>
        <v>Heat Room Boiler</v>
      </c>
      <c r="T36" s="96" t="str">
        <f>+T15</f>
        <v>Waste</v>
      </c>
      <c r="U36" s="96" t="str">
        <f>+U$7</f>
        <v>Existing 1</v>
      </c>
    </row>
    <row r="37" spans="1:21">
      <c r="B37" s="285" t="str">
        <f t="shared" si="0"/>
        <v/>
      </c>
      <c r="C37" s="123"/>
      <c r="D37" s="133" t="str">
        <f>M13 &amp; P$37 &amp; R$37 &amp; VLOOKUP(O$37, $O$50:$P$75,2,FALSE) &amp; "E1"</f>
        <v>AGRSHBHETE1</v>
      </c>
      <c r="E37" s="130" t="str">
        <f>+M10 &amp; " " &amp; S$37 &amp; " - " &amp; T$37 &amp; " " &amp; U$37</f>
        <v>Agriculture Heat Room Boiler - Dist. Heat Existing 1</v>
      </c>
      <c r="F37" s="123" t="s">
        <v>44</v>
      </c>
      <c r="G37" s="123" t="s">
        <v>46</v>
      </c>
      <c r="H37" s="123"/>
      <c r="I37" s="123"/>
      <c r="J37" s="123"/>
      <c r="K37" s="63"/>
      <c r="O37" s="141" t="str">
        <f>Commodities!$D$22</f>
        <v>AGRHCE</v>
      </c>
      <c r="P37" s="141" t="str">
        <f>+Commodities!$AL$8</f>
        <v>SH</v>
      </c>
      <c r="R37" s="96" t="str">
        <f>+R$7</f>
        <v>B</v>
      </c>
      <c r="S37" s="96" t="str">
        <f>+S$28</f>
        <v>Heat Room Boiler</v>
      </c>
      <c r="T37" s="96" t="str">
        <f>+T16</f>
        <v>Dist. Heat</v>
      </c>
      <c r="U37" s="96" t="str">
        <f>+U$7</f>
        <v>Existing 1</v>
      </c>
    </row>
    <row r="38" spans="1:21">
      <c r="B38" s="285" t="str">
        <f t="shared" si="0"/>
        <v>*</v>
      </c>
      <c r="C38" s="133"/>
      <c r="D38" s="133"/>
      <c r="E38" s="133"/>
      <c r="F38" s="136"/>
      <c r="G38" s="133"/>
      <c r="H38" s="133"/>
      <c r="I38" s="133"/>
      <c r="J38" s="133"/>
      <c r="K38" s="63"/>
      <c r="O38" s="141" t="str">
        <f>Commodities!$D$24</f>
        <v>AGRHDE</v>
      </c>
      <c r="P38" s="141"/>
      <c r="R38" s="96"/>
      <c r="S38" s="96"/>
      <c r="T38" s="96"/>
      <c r="U38" s="96"/>
    </row>
    <row r="39" spans="1:21">
      <c r="B39" s="285" t="str">
        <f t="shared" si="0"/>
        <v/>
      </c>
      <c r="C39" s="133"/>
      <c r="D39" s="131" t="str">
        <f>M13 &amp; P$39 &amp; R$39 &amp; VLOOKUP(O$39, $O$50:$P$75,2,FALSE) &amp; "E1"</f>
        <v>AGRSHBELCE1</v>
      </c>
      <c r="E39" s="131" t="str">
        <f>+M10 &amp; " " &amp; S$39 &amp; " - " &amp; T$39 &amp; " " &amp; U$39</f>
        <v>Agriculture Heat Room Boiler - Electricity Existing 1</v>
      </c>
      <c r="F39" s="126" t="s">
        <v>44</v>
      </c>
      <c r="G39" s="126" t="s">
        <v>46</v>
      </c>
      <c r="H39" s="126"/>
      <c r="I39" s="126"/>
      <c r="J39" s="126"/>
      <c r="K39" s="63"/>
      <c r="O39" s="142" t="str">
        <f>Commodities!$D$25</f>
        <v>AGRELC</v>
      </c>
      <c r="P39" s="143" t="str">
        <f>+Commodities!$AL$8</f>
        <v>SH</v>
      </c>
      <c r="R39" s="97" t="str">
        <f>+R$7</f>
        <v>B</v>
      </c>
      <c r="S39" s="97" t="str">
        <f>+S$28</f>
        <v>Heat Room Boiler</v>
      </c>
      <c r="T39" s="97" t="str">
        <f>+T$18</f>
        <v>Electricity</v>
      </c>
      <c r="U39" s="97" t="str">
        <f>+U$7</f>
        <v>Existing 1</v>
      </c>
    </row>
    <row r="40" spans="1:21">
      <c r="B40" s="285" t="str">
        <f t="shared" si="0"/>
        <v/>
      </c>
      <c r="C40" s="133"/>
      <c r="D40" s="133" t="str">
        <f>M13 &amp; P$40 &amp; R$40 &amp; VLOOKUP(O$40, $O$50:$P$75,2,FALSE) &amp; "E1"</f>
        <v>AGRLAAELCE1</v>
      </c>
      <c r="E40" s="133" t="str">
        <f>+M10 &amp; " " &amp; S$40 &amp; " - " &amp; T$40 &amp; " " &amp; U$40</f>
        <v>Agriculture Electricity Light Appliance - Electricity Existing 1</v>
      </c>
      <c r="F40" s="136" t="s">
        <v>44</v>
      </c>
      <c r="G40" s="133" t="s">
        <v>46</v>
      </c>
      <c r="H40" s="133"/>
      <c r="I40" s="133"/>
      <c r="J40" s="133"/>
      <c r="K40" s="63"/>
      <c r="O40" s="144" t="str">
        <f>Commodities!$D$25</f>
        <v>AGRELC</v>
      </c>
      <c r="P40" s="141" t="str">
        <f>+Commodities!$AL$9</f>
        <v>LA</v>
      </c>
      <c r="R40" s="98" t="s">
        <v>163</v>
      </c>
      <c r="S40" s="98" t="s">
        <v>157</v>
      </c>
      <c r="T40" s="96" t="str">
        <f>+T$18</f>
        <v>Electricity</v>
      </c>
      <c r="U40" s="96" t="str">
        <f>+U$7</f>
        <v>Existing 1</v>
      </c>
    </row>
    <row r="41" spans="1:21">
      <c r="B41" s="285" t="str">
        <f t="shared" si="0"/>
        <v/>
      </c>
      <c r="C41" s="133"/>
      <c r="D41" s="131" t="str">
        <f>M13 &amp; P$41 &amp; R$41 &amp; VLOOKUP(O$41, $O$50:$P$75,2,FALSE) &amp; "E1"</f>
        <v>AGREMMELCE1</v>
      </c>
      <c r="E41" s="131" t="str">
        <f>+M10 &amp; " " &amp; S$41 &amp; " - " &amp; T$41 &amp; " " &amp; U$41</f>
        <v>Agriculture Electricity Motors - Electricity Existing 1</v>
      </c>
      <c r="F41" s="126" t="s">
        <v>44</v>
      </c>
      <c r="G41" s="126" t="s">
        <v>46</v>
      </c>
      <c r="H41" s="126"/>
      <c r="I41" s="126"/>
      <c r="J41" s="126"/>
      <c r="K41" s="63"/>
      <c r="O41" s="143" t="str">
        <f>Commodities!$D$25</f>
        <v>AGRELC</v>
      </c>
      <c r="P41" s="143" t="str">
        <f>+Commodities!$AL$10</f>
        <v>EM</v>
      </c>
      <c r="R41" s="99" t="s">
        <v>193</v>
      </c>
      <c r="S41" s="99" t="s">
        <v>158</v>
      </c>
      <c r="T41" s="97" t="str">
        <f>+T$18</f>
        <v>Electricity</v>
      </c>
      <c r="U41" s="97" t="str">
        <f>+U$7</f>
        <v>Existing 1</v>
      </c>
    </row>
    <row r="42" spans="1:21">
      <c r="A42" s="217"/>
      <c r="B42" s="285" t="str">
        <f t="shared" si="0"/>
        <v/>
      </c>
      <c r="C42" s="133"/>
      <c r="D42" s="218" t="str">
        <f>M13 &amp; P$42 &amp; R$42 &amp; VLOOKUP(O$42, $O$50:$P$75,2,FALSE) &amp; "E1"</f>
        <v>AGRTFTDSLE1</v>
      </c>
      <c r="E42" s="133" t="str">
        <f>+M10 &amp; " " &amp; S$42 &amp; " - " &amp; T$42 &amp; " " &amp; U$42</f>
        <v>Agriculture Tractors, Trucks, Fishing boats, Forest machines - Diesel Existing 1</v>
      </c>
      <c r="F42" s="133" t="s">
        <v>44</v>
      </c>
      <c r="G42" s="133" t="s">
        <v>46</v>
      </c>
      <c r="H42" s="133"/>
      <c r="I42" s="133"/>
      <c r="J42" s="133"/>
      <c r="O42" s="141" t="str">
        <f>+Commodities!D27&amp;","&amp;Commodities!D28&amp;","&amp;Commodities!D15</f>
        <v>AGRDSB1,AGRDSB2,AGRDSL</v>
      </c>
      <c r="P42" s="141" t="str">
        <f>+Commodities!$AL$11</f>
        <v>TF</v>
      </c>
      <c r="Q42" s="44"/>
      <c r="R42" s="98" t="s">
        <v>164</v>
      </c>
      <c r="S42" s="98" t="s">
        <v>247</v>
      </c>
      <c r="T42" s="98" t="s">
        <v>68</v>
      </c>
      <c r="U42" s="96" t="str">
        <f t="shared" ref="U42:U43" si="6">+U$7</f>
        <v>Existing 1</v>
      </c>
    </row>
    <row r="43" spans="1:21" ht="15" thickBot="1">
      <c r="A43" s="217"/>
      <c r="B43" s="285" t="str">
        <f t="shared" si="0"/>
        <v/>
      </c>
      <c r="C43" s="133"/>
      <c r="D43" s="218" t="str">
        <f>M13&amp;P$43&amp;R$43&amp;VLOOKUP(O$43,$O$50:$P$75,2,FALSE)&amp;"E1"</f>
        <v>AGRFLTLPGE1</v>
      </c>
      <c r="E43" s="133" t="str">
        <f>+M10 &amp; " " &amp; S$43 &amp; " - " &amp; T$43 &amp; " " &amp; U$43</f>
        <v>Agriculture Forklifts - LPG Existing 1</v>
      </c>
      <c r="F43" s="133" t="s">
        <v>44</v>
      </c>
      <c r="G43" s="133" t="s">
        <v>46</v>
      </c>
      <c r="H43" s="133"/>
      <c r="I43" s="133"/>
      <c r="J43" s="133"/>
      <c r="O43" s="141" t="str">
        <f>+Commodities!D20&amp;","&amp;Commodities!D29&amp;","&amp;Commodities!D30</f>
        <v>AGRLPG,AGRSNG1,AGRSNG2</v>
      </c>
      <c r="P43" s="141" t="str">
        <f>+Commodities!$AL$12</f>
        <v>FL</v>
      </c>
      <c r="Q43" s="44"/>
      <c r="R43" s="96" t="str">
        <f>+R$42</f>
        <v>T</v>
      </c>
      <c r="S43" s="98" t="s">
        <v>195</v>
      </c>
      <c r="T43" s="98" t="s">
        <v>53</v>
      </c>
      <c r="U43" s="96" t="str">
        <f t="shared" si="6"/>
        <v>Existing 1</v>
      </c>
    </row>
    <row r="44" spans="1:21">
      <c r="A44" s="28"/>
      <c r="B44" s="137" t="s">
        <v>216</v>
      </c>
      <c r="C44" s="137"/>
      <c r="D44" s="138" t="str">
        <f>"FT-"&amp;Commodities!D13</f>
        <v>FT-AGRNGA</v>
      </c>
      <c r="E44" s="138" t="str">
        <f>"FT technology Agriculture "&amp;RIGHT(Commodities!D13,LEN(Commodities!D13)-3)</f>
        <v>FT technology Agriculture NGA</v>
      </c>
      <c r="F44" s="137" t="s">
        <v>44</v>
      </c>
      <c r="G44" s="137" t="s">
        <v>108</v>
      </c>
      <c r="H44" s="137"/>
      <c r="I44" s="139"/>
      <c r="J44" s="137"/>
    </row>
    <row r="45" spans="1:21">
      <c r="B45" s="123" t="str">
        <f t="shared" ref="B45:B52" si="7">+IF(ISBLANK(D45),"*","")</f>
        <v/>
      </c>
      <c r="C45" s="123"/>
      <c r="D45" s="140" t="str">
        <f>"FT-"&amp;Commodities!D14</f>
        <v>FT-AGRCOA</v>
      </c>
      <c r="E45" s="130" t="str">
        <f>"FT technology Agriculture "&amp;RIGHT(Commodities!D14,LEN(Commodities!D14)-3)</f>
        <v>FT technology Agriculture COA</v>
      </c>
      <c r="F45" s="123" t="s">
        <v>44</v>
      </c>
      <c r="G45" s="123" t="s">
        <v>108</v>
      </c>
      <c r="H45" s="123"/>
      <c r="I45" s="120"/>
      <c r="J45" s="123"/>
    </row>
    <row r="46" spans="1:21">
      <c r="B46" s="123" t="str">
        <f t="shared" si="7"/>
        <v/>
      </c>
      <c r="C46" s="123"/>
      <c r="D46" s="140" t="str">
        <f>"FT-"&amp;Commodities!D15</f>
        <v>FT-AGRDSL</v>
      </c>
      <c r="E46" s="130" t="str">
        <f>"FT technology Agriculture "&amp;RIGHT(Commodities!D15,LEN(Commodities!D15)-3)</f>
        <v>FT technology Agriculture DSL</v>
      </c>
      <c r="F46" s="123" t="s">
        <v>44</v>
      </c>
      <c r="G46" s="123" t="s">
        <v>108</v>
      </c>
      <c r="H46" s="123"/>
      <c r="I46" s="120"/>
      <c r="J46" s="123"/>
    </row>
    <row r="47" spans="1:21">
      <c r="B47" s="123" t="str">
        <f t="shared" si="7"/>
        <v/>
      </c>
      <c r="C47" s="123"/>
      <c r="D47" s="140" t="str">
        <f>"FT-"&amp;Commodities!D16</f>
        <v>FT-AGRWPE</v>
      </c>
      <c r="E47" s="130" t="str">
        <f>"FT technology Agriculture "&amp;RIGHT(Commodities!D16,LEN(Commodities!D16)-3)</f>
        <v>FT technology Agriculture WPE</v>
      </c>
      <c r="F47" s="123" t="s">
        <v>44</v>
      </c>
      <c r="G47" s="123" t="s">
        <v>108</v>
      </c>
      <c r="H47" s="123"/>
      <c r="I47" s="120"/>
      <c r="J47" s="123"/>
      <c r="O47" s="78" t="s">
        <v>201</v>
      </c>
    </row>
    <row r="48" spans="1:21">
      <c r="B48" s="123" t="str">
        <f t="shared" si="7"/>
        <v/>
      </c>
      <c r="C48" s="123"/>
      <c r="D48" s="140" t="str">
        <f>"FT-"&amp;Commodities!D17</f>
        <v>FT-AGRWCH</v>
      </c>
      <c r="E48" s="130" t="str">
        <f>"FT technology Agriculture "&amp;RIGHT(Commodities!D17,LEN(Commodities!D17)-3)</f>
        <v>FT technology Agriculture WCH</v>
      </c>
      <c r="F48" s="123" t="s">
        <v>44</v>
      </c>
      <c r="G48" s="123" t="s">
        <v>108</v>
      </c>
      <c r="H48" s="123"/>
      <c r="I48" s="120"/>
      <c r="J48" s="123"/>
    </row>
    <row r="49" spans="2:21">
      <c r="B49" s="123" t="str">
        <f t="shared" si="7"/>
        <v/>
      </c>
      <c r="C49" s="123"/>
      <c r="D49" s="140" t="str">
        <f>"FT-"&amp;Commodities!D18</f>
        <v>FT-AGRBGA</v>
      </c>
      <c r="E49" s="130" t="str">
        <f>"FT technology Agriculture "&amp;RIGHT(Commodities!D18,LEN(Commodities!D18)-3)</f>
        <v>FT technology Agriculture BGA</v>
      </c>
      <c r="F49" s="123" t="s">
        <v>44</v>
      </c>
      <c r="G49" s="123" t="s">
        <v>108</v>
      </c>
      <c r="H49" s="123"/>
      <c r="I49" s="120"/>
      <c r="J49" s="123"/>
      <c r="O49" s="92" t="s">
        <v>14</v>
      </c>
      <c r="P49" s="91" t="s">
        <v>180</v>
      </c>
    </row>
    <row r="50" spans="2:21">
      <c r="B50" s="123" t="str">
        <f t="shared" si="7"/>
        <v/>
      </c>
      <c r="C50" s="123"/>
      <c r="D50" s="140" t="str">
        <f>"FT-"&amp;Commodities!D19</f>
        <v>FT-AGRHFO</v>
      </c>
      <c r="E50" s="130" t="str">
        <f>"FT technology Agriculture "&amp;RIGHT(Commodities!D19,LEN(Commodities!D19)-3)</f>
        <v>FT technology Agriculture HFO</v>
      </c>
      <c r="F50" s="123" t="s">
        <v>44</v>
      </c>
      <c r="G50" s="123" t="s">
        <v>108</v>
      </c>
      <c r="H50" s="123"/>
      <c r="I50" s="120"/>
      <c r="J50" s="123"/>
      <c r="O50" s="95" t="str">
        <f>+Commodities!D13</f>
        <v>AGRNGA</v>
      </c>
      <c r="P50" s="93" t="str">
        <f t="shared" ref="P50:P57" si="8">+RIGHT(O50,3)</f>
        <v>NGA</v>
      </c>
    </row>
    <row r="51" spans="2:21">
      <c r="B51" s="123" t="str">
        <f t="shared" si="7"/>
        <v/>
      </c>
      <c r="C51" s="123"/>
      <c r="D51" s="140" t="str">
        <f>"FT-"&amp;Commodities!D20</f>
        <v>FT-AGRLPG</v>
      </c>
      <c r="E51" s="130" t="str">
        <f>"FT technology Agriculture "&amp;RIGHT(Commodities!D20,LEN(Commodities!D20)-3)</f>
        <v>FT technology Agriculture LPG</v>
      </c>
      <c r="F51" s="123" t="s">
        <v>44</v>
      </c>
      <c r="G51" s="123" t="s">
        <v>108</v>
      </c>
      <c r="H51" s="123"/>
      <c r="I51" s="120"/>
      <c r="J51" s="123"/>
      <c r="O51" s="95" t="str">
        <f>+Commodities!D14</f>
        <v>AGRCOA</v>
      </c>
      <c r="P51" s="93" t="str">
        <f t="shared" si="8"/>
        <v>COA</v>
      </c>
    </row>
    <row r="52" spans="2:21">
      <c r="B52" s="123" t="str">
        <f t="shared" si="7"/>
        <v/>
      </c>
      <c r="C52" s="123"/>
      <c r="D52" s="140" t="str">
        <f>"FT-"&amp;Commodities!D21</f>
        <v>FT-AGRWST</v>
      </c>
      <c r="E52" s="130" t="str">
        <f>"FT technology Agriculture "&amp;RIGHT(Commodities!D21,LEN(Commodities!D21)-3)</f>
        <v>FT technology Agriculture WST</v>
      </c>
      <c r="F52" s="123" t="s">
        <v>44</v>
      </c>
      <c r="G52" s="123" t="s">
        <v>108</v>
      </c>
      <c r="H52" s="123"/>
      <c r="I52" s="120"/>
      <c r="J52" s="123"/>
      <c r="O52" s="95" t="str">
        <f>+Commodities!D15</f>
        <v>AGRDSL</v>
      </c>
      <c r="P52" s="93" t="str">
        <f t="shared" si="8"/>
        <v>DSL</v>
      </c>
    </row>
    <row r="53" spans="2:21">
      <c r="B53" s="123" t="str">
        <f>+IF(ISBLANK(D56),"*","")</f>
        <v/>
      </c>
      <c r="C53" s="123"/>
      <c r="D53" s="140" t="str">
        <f>"FT-"&amp;Commodities!D22</f>
        <v>FT-AGRHCE</v>
      </c>
      <c r="E53" s="130" t="str">
        <f>"FT technology Agriculture "&amp;RIGHT(Commodities!D22,LEN(Commodities!D22)-3)</f>
        <v>FT technology Agriculture HCE</v>
      </c>
      <c r="F53" s="123" t="s">
        <v>44</v>
      </c>
      <c r="G53" s="123" t="s">
        <v>108</v>
      </c>
      <c r="H53" s="123" t="s">
        <v>60</v>
      </c>
      <c r="I53" s="120"/>
      <c r="J53" s="123"/>
      <c r="O53" s="95" t="str">
        <f>+Commodities!D16</f>
        <v>AGRWPE</v>
      </c>
      <c r="P53" s="93" t="str">
        <f t="shared" si="8"/>
        <v>WPE</v>
      </c>
    </row>
    <row r="54" spans="2:21" s="257" customFormat="1">
      <c r="B54" s="285" t="str">
        <f>+IF(ISBLANK(D57),"*","")</f>
        <v/>
      </c>
      <c r="C54" s="285"/>
      <c r="D54" s="140" t="str">
        <f>"FT-"&amp;Commodities!D23</f>
        <v>FT-AGRHSE</v>
      </c>
      <c r="E54" s="130" t="str">
        <f>"FT technology Agriculture "&amp;RIGHT(Commodities!D23,LEN(Commodities!D23)-3)</f>
        <v>FT technology Agriculture HSE</v>
      </c>
      <c r="F54" s="285" t="s">
        <v>44</v>
      </c>
      <c r="G54" s="285" t="s">
        <v>108</v>
      </c>
      <c r="H54" s="285" t="s">
        <v>60</v>
      </c>
      <c r="I54" s="120"/>
      <c r="J54" s="285"/>
      <c r="O54" s="95" t="str">
        <f>+Commodities!D17</f>
        <v>AGRWCH</v>
      </c>
      <c r="P54" s="93" t="str">
        <f t="shared" ref="P54" si="9">+RIGHT(O54,3)</f>
        <v>WCH</v>
      </c>
    </row>
    <row r="55" spans="2:21">
      <c r="B55" s="123" t="str">
        <f>+IF(ISBLANK(D53),"*","")</f>
        <v/>
      </c>
      <c r="C55" s="123"/>
      <c r="D55" s="140" t="str">
        <f>"FT-"&amp;Commodities!D24</f>
        <v>FT-AGRHDE</v>
      </c>
      <c r="E55" s="130" t="str">
        <f>"FT technology Agriculture "&amp;RIGHT(Commodities!D24,LEN(Commodities!D24)-3)</f>
        <v>FT technology Agriculture HDE</v>
      </c>
      <c r="F55" s="123" t="s">
        <v>44</v>
      </c>
      <c r="G55" s="123" t="s">
        <v>108</v>
      </c>
      <c r="H55" s="123" t="s">
        <v>60</v>
      </c>
      <c r="I55" s="120"/>
      <c r="J55" s="123"/>
      <c r="O55" s="95" t="str">
        <f>+Commodities!D17</f>
        <v>AGRWCH</v>
      </c>
      <c r="P55" s="93" t="str">
        <f t="shared" si="8"/>
        <v>WCH</v>
      </c>
      <c r="R55" s="54"/>
      <c r="S55" s="51"/>
      <c r="T55" s="52"/>
      <c r="U55" s="53"/>
    </row>
    <row r="56" spans="2:21">
      <c r="B56" s="123" t="str">
        <f>+IF(ISBLANK(D55),"*","")</f>
        <v/>
      </c>
      <c r="C56" s="123"/>
      <c r="D56" s="140" t="str">
        <f>"FT-"&amp;Commodities!D25</f>
        <v>FT-AGRELC</v>
      </c>
      <c r="E56" s="130" t="str">
        <f>"FT technology Agriculture "&amp;RIGHT(Commodities!D25,LEN(Commodities!D25)-3)</f>
        <v>FT technology Agriculture ELC</v>
      </c>
      <c r="F56" s="123" t="s">
        <v>44</v>
      </c>
      <c r="G56" s="123" t="s">
        <v>108</v>
      </c>
      <c r="H56" s="123" t="s">
        <v>60</v>
      </c>
      <c r="I56" s="120"/>
      <c r="J56" s="123"/>
      <c r="O56" s="95" t="str">
        <f>+Commodities!D18</f>
        <v>AGRBGA</v>
      </c>
      <c r="P56" s="93" t="str">
        <f t="shared" si="8"/>
        <v>BGA</v>
      </c>
    </row>
    <row r="57" spans="2:21">
      <c r="B57" s="123" t="str">
        <f>+IF(ISBLANK(D57),"*","")</f>
        <v/>
      </c>
      <c r="C57" s="123"/>
      <c r="D57" s="140" t="str">
        <f>"FT-"&amp;Commodities!D26</f>
        <v>FT-AGRSOL</v>
      </c>
      <c r="E57" s="130" t="str">
        <f>"FT technology Agriculture "&amp;RIGHT(Commodities!D26,LEN(Commodities!D26)-3)</f>
        <v>FT technology Agriculture SOL</v>
      </c>
      <c r="F57" s="123" t="s">
        <v>44</v>
      </c>
      <c r="G57" s="123" t="s">
        <v>108</v>
      </c>
      <c r="H57" s="123"/>
      <c r="I57" s="120"/>
      <c r="J57" s="123"/>
      <c r="O57" s="95" t="str">
        <f>+Commodities!D19</f>
        <v>AGRHFO</v>
      </c>
      <c r="P57" s="93" t="str">
        <f t="shared" si="8"/>
        <v>HFO</v>
      </c>
    </row>
    <row r="58" spans="2:21">
      <c r="B58" s="123" t="str">
        <f>+IF(ISBLANK(D58),"*","")</f>
        <v/>
      </c>
      <c r="C58" s="123"/>
      <c r="D58" s="140" t="str">
        <f>"FT-"&amp;Commodities!D27</f>
        <v>FT-AGRDSB1</v>
      </c>
      <c r="E58" s="130" t="str">
        <f>"FT technology Agriculture "&amp;RIGHT(Commodities!D27,LEN(Commodities!D27)-3)</f>
        <v>FT technology Agriculture DSB1</v>
      </c>
      <c r="F58" s="123" t="s">
        <v>44</v>
      </c>
      <c r="G58" s="123" t="s">
        <v>108</v>
      </c>
      <c r="H58" s="123"/>
      <c r="I58" s="120"/>
      <c r="J58" s="123"/>
      <c r="O58" s="95" t="str">
        <f>+Commodities!D20</f>
        <v>AGRLPG</v>
      </c>
      <c r="P58" s="93" t="str">
        <f>+RIGHT(O58,3)</f>
        <v>LPG</v>
      </c>
    </row>
    <row r="59" spans="2:21">
      <c r="B59" s="123" t="str">
        <f>+IF(ISBLANK(D59),"*","")</f>
        <v/>
      </c>
      <c r="C59" s="123"/>
      <c r="D59" s="140" t="str">
        <f>"FT-"&amp;Commodities!D28</f>
        <v>FT-AGRDSB2</v>
      </c>
      <c r="E59" s="130" t="str">
        <f>"FT technology Agriculture "&amp;RIGHT(Commodities!D28,LEN(Commodities!D28)-3)</f>
        <v>FT technology Agriculture DSB2</v>
      </c>
      <c r="F59" s="123" t="s">
        <v>44</v>
      </c>
      <c r="G59" s="123" t="s">
        <v>108</v>
      </c>
      <c r="H59" s="123"/>
      <c r="I59" s="120"/>
      <c r="J59" s="123"/>
      <c r="O59" s="95" t="str">
        <f>+Commodities!D21</f>
        <v>AGRWST</v>
      </c>
      <c r="P59" s="93" t="str">
        <f>+RIGHT(O59,3)</f>
        <v>WST</v>
      </c>
    </row>
    <row r="60" spans="2:21">
      <c r="B60" s="123" t="str">
        <f>+IF(ISBLANK(D60),"*","")</f>
        <v/>
      </c>
      <c r="C60" s="123"/>
      <c r="D60" s="140" t="str">
        <f>"FT-"&amp;Commodities!D29</f>
        <v>FT-AGRSNG1</v>
      </c>
      <c r="E60" s="130" t="str">
        <f>"FT technology Agriculture "&amp;RIGHT(Commodities!D29,LEN(Commodities!D29)-3)</f>
        <v>FT technology Agriculture SNG1</v>
      </c>
      <c r="F60" s="123" t="s">
        <v>44</v>
      </c>
      <c r="G60" s="123" t="s">
        <v>108</v>
      </c>
      <c r="H60" s="123"/>
      <c r="I60" s="120"/>
      <c r="J60" s="123"/>
      <c r="O60" s="95" t="str">
        <f>+Commodities!D22</f>
        <v>AGRHCE</v>
      </c>
      <c r="P60" s="179" t="s">
        <v>181</v>
      </c>
    </row>
    <row r="61" spans="2:21">
      <c r="B61" s="123" t="str">
        <f>+IF(ISBLANK(D61),"*","")</f>
        <v/>
      </c>
      <c r="C61" s="123"/>
      <c r="D61" s="140" t="str">
        <f>"FT-"&amp;Commodities!D30</f>
        <v>FT-AGRSNG2</v>
      </c>
      <c r="E61" s="130" t="str">
        <f>"FT technology Agriculture "&amp;RIGHT(Commodities!D30,LEN(Commodities!D30)-3)</f>
        <v>FT technology Agriculture SNG2</v>
      </c>
      <c r="F61" s="123" t="s">
        <v>44</v>
      </c>
      <c r="G61" s="123" t="s">
        <v>108</v>
      </c>
      <c r="H61" s="123"/>
      <c r="I61" s="120"/>
      <c r="J61" s="123"/>
      <c r="O61" s="95" t="str">
        <f>+Commodities!D24</f>
        <v>AGRHDE</v>
      </c>
      <c r="P61" s="179" t="s">
        <v>181</v>
      </c>
    </row>
    <row r="62" spans="2:21">
      <c r="B62" s="123"/>
      <c r="C62" s="123"/>
      <c r="D62" s="140" t="str">
        <f>"FT-"&amp;Commodities!D31</f>
        <v>FT-AGRGSL</v>
      </c>
      <c r="E62" s="130" t="str">
        <f>"FT technology Agriculture "&amp;RIGHT(Commodities!D31,LEN(Commodities!D31)-3)</f>
        <v>FT technology Agriculture GSL</v>
      </c>
      <c r="F62" s="123" t="s">
        <v>44</v>
      </c>
      <c r="G62" s="123" t="s">
        <v>108</v>
      </c>
      <c r="H62" s="123"/>
      <c r="I62" s="120"/>
      <c r="J62" s="123"/>
      <c r="O62" s="95" t="str">
        <f>+Commodities!D25</f>
        <v>AGRELC</v>
      </c>
      <c r="P62" s="93" t="str">
        <f t="shared" ref="P62:P70" si="10">+RIGHT(O62,3)</f>
        <v>ELC</v>
      </c>
    </row>
    <row r="63" spans="2:21">
      <c r="B63" s="123"/>
      <c r="C63" s="123"/>
      <c r="D63" s="140" t="str">
        <f>"FT-"&amp;Commodities!D32</f>
        <v>FT-AGRGSB1</v>
      </c>
      <c r="E63" s="130" t="str">
        <f>"FT technology Agriculture "&amp;RIGHT(Commodities!D32,LEN(Commodities!D32)-3)</f>
        <v>FT technology Agriculture GSB1</v>
      </c>
      <c r="F63" s="123" t="s">
        <v>44</v>
      </c>
      <c r="G63" s="123" t="s">
        <v>108</v>
      </c>
      <c r="H63" s="123"/>
      <c r="I63" s="120"/>
      <c r="J63" s="123"/>
      <c r="O63" s="95" t="str">
        <f>+Commodities!D26</f>
        <v>AGRSOL</v>
      </c>
      <c r="P63" s="93" t="str">
        <f t="shared" si="10"/>
        <v>SOL</v>
      </c>
    </row>
    <row r="64" spans="2:21">
      <c r="B64" s="285"/>
      <c r="C64" s="285"/>
      <c r="D64" s="130" t="str">
        <f>"FT-"&amp;Commodities!D33</f>
        <v>FT-AGRGSB2</v>
      </c>
      <c r="E64" s="130" t="str">
        <f>"FT technology Agriculture "&amp;RIGHT(Commodities!D33,LEN(Commodities!D33)-3)</f>
        <v>FT technology Agriculture GSB2</v>
      </c>
      <c r="F64" s="285" t="s">
        <v>44</v>
      </c>
      <c r="G64" s="285" t="s">
        <v>108</v>
      </c>
      <c r="H64" s="285"/>
      <c r="I64" s="120"/>
      <c r="J64" s="285"/>
      <c r="O64" s="95" t="str">
        <f>+Commodities!D27</f>
        <v>AGRDSB1</v>
      </c>
      <c r="P64" s="93" t="str">
        <f t="shared" si="10"/>
        <v>SB1</v>
      </c>
    </row>
    <row r="65" spans="1:16">
      <c r="B65" s="126"/>
      <c r="C65" s="126"/>
      <c r="D65" s="131" t="str">
        <f>"FT-"&amp;Commodities!D34</f>
        <v>FT-AGRH2</v>
      </c>
      <c r="E65" s="131" t="str">
        <f>"FT technology Agriculture "&amp;RIGHT(Commodities!D34,LEN(Commodities!D34)-3)</f>
        <v>FT technology Agriculture H2</v>
      </c>
      <c r="F65" s="126" t="s">
        <v>44</v>
      </c>
      <c r="G65" s="126" t="s">
        <v>108</v>
      </c>
      <c r="H65" s="126"/>
      <c r="I65" s="541"/>
      <c r="J65" s="126"/>
      <c r="O65" s="95" t="str">
        <f>+Commodities!D28</f>
        <v>AGRDSB2</v>
      </c>
      <c r="P65" s="93" t="str">
        <f t="shared" si="10"/>
        <v>SB2</v>
      </c>
    </row>
    <row r="66" spans="1:16">
      <c r="D66" s="257" t="s">
        <v>442</v>
      </c>
      <c r="E66" s="261" t="s">
        <v>441</v>
      </c>
      <c r="F66" s="24" t="s">
        <v>44</v>
      </c>
      <c r="G66" s="24" t="s">
        <v>108</v>
      </c>
      <c r="O66" s="95" t="str">
        <f>+Commodities!D29</f>
        <v>AGRSNG1</v>
      </c>
      <c r="P66" s="93" t="str">
        <f t="shared" si="10"/>
        <v>NG1</v>
      </c>
    </row>
    <row r="67" spans="1:16">
      <c r="O67" s="95" t="str">
        <f>+Commodities!D30</f>
        <v>AGRSNG2</v>
      </c>
      <c r="P67" s="93" t="str">
        <f t="shared" si="10"/>
        <v>NG2</v>
      </c>
    </row>
    <row r="68" spans="1:16">
      <c r="O68" s="95" t="str">
        <f>+Commodities!D31</f>
        <v>AGRGSL</v>
      </c>
      <c r="P68" s="93" t="str">
        <f t="shared" si="10"/>
        <v>GSL</v>
      </c>
    </row>
    <row r="69" spans="1:16">
      <c r="O69" s="95" t="str">
        <f>+Commodities!D32</f>
        <v>AGRGSB1</v>
      </c>
      <c r="P69" s="93" t="str">
        <f t="shared" si="10"/>
        <v>SB1</v>
      </c>
    </row>
    <row r="70" spans="1:16">
      <c r="O70" s="192" t="str">
        <f>+Commodities!D33</f>
        <v>AGRGSB2</v>
      </c>
      <c r="P70" s="191" t="str">
        <f t="shared" si="10"/>
        <v>SB2</v>
      </c>
    </row>
    <row r="71" spans="1:16">
      <c r="N71" s="44" t="s">
        <v>200</v>
      </c>
      <c r="O71" s="144" t="str">
        <f>+O7</f>
        <v>AGRSNG1,AGRSNG2,AGRNGA</v>
      </c>
      <c r="P71" s="179" t="s">
        <v>97</v>
      </c>
    </row>
    <row r="72" spans="1:16">
      <c r="O72" s="142" t="str">
        <f>+O9</f>
        <v>AGRDSB1,AGRDSB2,AGRDSL</v>
      </c>
      <c r="P72" s="179" t="s">
        <v>59</v>
      </c>
    </row>
    <row r="73" spans="1:16">
      <c r="O73" s="142" t="str">
        <f>+O42</f>
        <v>AGRDSB1,AGRDSB2,AGRDSL</v>
      </c>
      <c r="P73" s="179" t="s">
        <v>59</v>
      </c>
    </row>
    <row r="74" spans="1:16">
      <c r="O74" s="142" t="str">
        <f>+O43</f>
        <v>AGRLPG,AGRSNG1,AGRSNG2</v>
      </c>
      <c r="P74" s="179" t="s">
        <v>53</v>
      </c>
    </row>
    <row r="75" spans="1:16">
      <c r="O75" s="142">
        <f>+O44</f>
        <v>0</v>
      </c>
      <c r="P75" s="193" t="s">
        <v>192</v>
      </c>
    </row>
    <row r="76" spans="1:16">
      <c r="O76" s="24" t="str">
        <f>+"(used in formulas in column " &amp; CHAR(COLUMN(D7)+64) &amp; ")"</f>
        <v>(used in formulas in column D)</v>
      </c>
    </row>
    <row r="80" spans="1:16">
      <c r="A80" s="217"/>
    </row>
    <row r="81" spans="1:21">
      <c r="A81" s="217"/>
    </row>
    <row r="82" spans="1:21">
      <c r="A82" s="28"/>
      <c r="Q82" s="51"/>
      <c r="R82" s="54"/>
      <c r="S82" s="51"/>
      <c r="T82" s="52"/>
      <c r="U82" s="53"/>
    </row>
    <row r="83" spans="1:21">
      <c r="O83" s="52"/>
      <c r="P83" s="52"/>
      <c r="Q83" s="51"/>
      <c r="R83" s="54"/>
      <c r="S83" s="51"/>
      <c r="T83" s="52"/>
      <c r="U83" s="53"/>
    </row>
    <row r="84" spans="1:21">
      <c r="O84" s="51"/>
      <c r="P84" s="51"/>
    </row>
    <row r="85" spans="1:21">
      <c r="O85" s="51"/>
      <c r="P85" s="51"/>
    </row>
    <row r="86" spans="1:21">
      <c r="O86" s="51"/>
      <c r="P86" s="51"/>
    </row>
    <row r="87" spans="1:21">
      <c r="O87" s="51"/>
      <c r="P87" s="51"/>
    </row>
    <row r="88" spans="1:21">
      <c r="O88" s="51"/>
      <c r="P88" s="51"/>
    </row>
    <row r="89" spans="1:21">
      <c r="O89" s="51"/>
      <c r="P89" s="51"/>
    </row>
    <row r="90" spans="1:21">
      <c r="O90" s="51"/>
      <c r="P90" s="51"/>
    </row>
    <row r="91" spans="1:21">
      <c r="O91" s="51"/>
      <c r="P91" s="51"/>
    </row>
    <row r="92" spans="1:21">
      <c r="O92" s="51"/>
      <c r="P92" s="51"/>
    </row>
    <row r="93" spans="1:21">
      <c r="O93" s="51"/>
      <c r="P93" s="51"/>
    </row>
    <row r="117" spans="1:1">
      <c r="A117" s="217"/>
    </row>
    <row r="118" spans="1:1">
      <c r="A118" s="217"/>
    </row>
    <row r="119" spans="1:1">
      <c r="A119" s="28"/>
    </row>
    <row r="154" spans="1:1">
      <c r="A154" s="217"/>
    </row>
    <row r="155" spans="1:1">
      <c r="A155" s="217"/>
    </row>
    <row r="156" spans="1:1">
      <c r="A156" s="28"/>
    </row>
    <row r="191" spans="1:1">
      <c r="A191" s="217"/>
    </row>
    <row r="192" spans="1:1">
      <c r="A192" s="217"/>
    </row>
    <row r="193" spans="1:1">
      <c r="A193" s="28"/>
    </row>
    <row r="228" spans="1:1">
      <c r="A228" s="217"/>
    </row>
    <row r="229" spans="1:1">
      <c r="A229" s="217"/>
    </row>
    <row r="230" spans="1:1">
      <c r="A230" s="28"/>
    </row>
    <row r="265" spans="1:1">
      <c r="A265" s="217"/>
    </row>
    <row r="266" spans="1:1">
      <c r="A266" s="217"/>
    </row>
    <row r="267" spans="1:1">
      <c r="A267" s="28"/>
    </row>
    <row r="302" spans="1:1">
      <c r="A302" s="217"/>
    </row>
    <row r="303" spans="1:1">
      <c r="A303" s="217"/>
    </row>
    <row r="304" spans="1:1">
      <c r="A304" s="28"/>
    </row>
    <row r="339" spans="1:1">
      <c r="A339" s="217"/>
    </row>
    <row r="340" spans="1:1">
      <c r="A340" s="217"/>
    </row>
    <row r="341" spans="1:1">
      <c r="A341" s="28"/>
    </row>
    <row r="376" spans="1:1">
      <c r="A376" s="217"/>
    </row>
    <row r="377" spans="1:1">
      <c r="A377" s="217"/>
    </row>
    <row r="378" spans="1:1">
      <c r="A378" s="28"/>
    </row>
    <row r="413" spans="1:1">
      <c r="A413" s="217"/>
    </row>
    <row r="414" spans="1:1">
      <c r="A414" s="217"/>
    </row>
    <row r="415" spans="1:1">
      <c r="A415" s="28"/>
    </row>
    <row r="450" spans="1:1">
      <c r="A450" s="217"/>
    </row>
    <row r="451" spans="1:1">
      <c r="A451" s="217"/>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19"/>
  <sheetViews>
    <sheetView showGridLines="0" zoomScaleNormal="100" workbookViewId="0">
      <selection activeCell="D16" sqref="D16"/>
    </sheetView>
  </sheetViews>
  <sheetFormatPr baseColWidth="10" defaultColWidth="9.1640625" defaultRowHeight="14"/>
  <cols>
    <col min="1" max="1" width="15.5" style="24" customWidth="1"/>
    <col min="2" max="2" width="11.83203125" style="24" bestFit="1" customWidth="1"/>
    <col min="3" max="3" width="7.6640625" style="24" bestFit="1" customWidth="1"/>
    <col min="4" max="4" width="10.83203125" style="24" bestFit="1" customWidth="1"/>
    <col min="5" max="5" width="58.5" style="24" customWidth="1"/>
    <col min="6" max="6" width="9.1640625" style="24"/>
    <col min="7" max="7" width="10.5" style="24" customWidth="1"/>
    <col min="8" max="11" width="9.1640625" style="24"/>
    <col min="12" max="13" width="9.1640625" style="30"/>
    <col min="14" max="23" width="9.1640625" style="24"/>
    <col min="24" max="24" width="23.5" style="24" bestFit="1" customWidth="1"/>
    <col min="25" max="28" width="9.1640625" style="24"/>
    <col min="29" max="29" width="44.33203125" style="24" bestFit="1" customWidth="1"/>
    <col min="30" max="30" width="39.6640625" style="257" bestFit="1" customWidth="1"/>
    <col min="31" max="31" width="12" style="257" bestFit="1" customWidth="1"/>
    <col min="32" max="32" width="21.83203125" style="257" bestFit="1" customWidth="1"/>
    <col min="33" max="35" width="9.1640625" style="257"/>
    <col min="36" max="38" width="9.1640625" style="24"/>
    <col min="39" max="39" width="10.6640625" style="24" customWidth="1"/>
    <col min="40" max="16384" width="9.1640625" style="24"/>
  </cols>
  <sheetData>
    <row r="1" spans="2:42">
      <c r="B1" s="66"/>
      <c r="C1" s="66"/>
    </row>
    <row r="2" spans="2:42">
      <c r="B2" s="66"/>
      <c r="C2" s="66"/>
      <c r="E2" s="209"/>
    </row>
    <row r="3" spans="2:42">
      <c r="B3" s="47" t="s">
        <v>9</v>
      </c>
      <c r="C3" s="47"/>
      <c r="D3" s="48"/>
      <c r="E3" s="48"/>
      <c r="F3" s="48"/>
      <c r="G3" s="48"/>
      <c r="H3" s="48"/>
      <c r="I3" s="48"/>
      <c r="J3" s="48"/>
    </row>
    <row r="4" spans="2:42" ht="15">
      <c r="B4" s="49" t="s">
        <v>6</v>
      </c>
      <c r="C4" s="49" t="s">
        <v>1</v>
      </c>
      <c r="D4" s="49" t="s">
        <v>4</v>
      </c>
      <c r="E4" s="49" t="s">
        <v>5</v>
      </c>
      <c r="F4" s="49" t="s">
        <v>7</v>
      </c>
      <c r="G4" s="49" t="s">
        <v>10</v>
      </c>
      <c r="H4" s="49" t="s">
        <v>11</v>
      </c>
      <c r="I4" s="49" t="s">
        <v>12</v>
      </c>
      <c r="J4" s="49" t="s">
        <v>13</v>
      </c>
    </row>
    <row r="5" spans="2:42" ht="25" thickBot="1">
      <c r="B5" s="89" t="s">
        <v>37</v>
      </c>
      <c r="C5" s="50" t="s">
        <v>29</v>
      </c>
      <c r="D5" s="50" t="s">
        <v>38</v>
      </c>
      <c r="E5" s="50" t="s">
        <v>39</v>
      </c>
      <c r="F5" s="50" t="s">
        <v>7</v>
      </c>
      <c r="G5" s="50" t="s">
        <v>40</v>
      </c>
      <c r="H5" s="50" t="s">
        <v>41</v>
      </c>
      <c r="I5" s="50" t="s">
        <v>42</v>
      </c>
      <c r="J5" s="50" t="s">
        <v>43</v>
      </c>
      <c r="L5" s="90"/>
      <c r="M5" s="90"/>
      <c r="N5" s="90"/>
      <c r="O5" s="42"/>
      <c r="P5" s="42"/>
      <c r="Q5" s="42"/>
      <c r="R5" s="42"/>
      <c r="T5" s="91" t="s">
        <v>146</v>
      </c>
      <c r="U5" s="91" t="s">
        <v>148</v>
      </c>
      <c r="V5" s="91" t="s">
        <v>148</v>
      </c>
      <c r="W5" s="91" t="s">
        <v>148</v>
      </c>
      <c r="X5" s="92" t="s">
        <v>173</v>
      </c>
      <c r="Y5" s="92" t="s">
        <v>147</v>
      </c>
      <c r="Z5" s="92"/>
      <c r="AA5" s="92"/>
      <c r="AB5" s="92"/>
      <c r="AC5" s="92" t="s">
        <v>265</v>
      </c>
      <c r="AD5" s="353" t="s">
        <v>266</v>
      </c>
      <c r="AE5" s="353" t="s">
        <v>88</v>
      </c>
      <c r="AF5" s="353"/>
      <c r="AJ5" s="91" t="s">
        <v>146</v>
      </c>
      <c r="AK5" s="92" t="s">
        <v>151</v>
      </c>
      <c r="AL5" s="92" t="s">
        <v>148</v>
      </c>
      <c r="AM5" s="92" t="s">
        <v>152</v>
      </c>
      <c r="AN5" s="91"/>
      <c r="AO5" s="91"/>
      <c r="AP5" s="91"/>
    </row>
    <row r="6" spans="2:42" s="28" customFormat="1" ht="16">
      <c r="B6" s="120" t="s">
        <v>17</v>
      </c>
      <c r="C6" s="121"/>
      <c r="D6" s="170" t="str">
        <f>+INDEX($V$6:$V$6,M6) &amp; INDEX($AL$6:$AL$13,L6)</f>
        <v>AGDPH</v>
      </c>
      <c r="E6" s="122" t="str">
        <f t="shared" ref="E6:E12" si="0">INDEX($X$6:$X$6,M6) &amp; " " &amp; INDEX($AM$6:$AM$13,L6)</f>
        <v>Agriculture Demand Process heat</v>
      </c>
      <c r="F6" s="123" t="s">
        <v>44</v>
      </c>
      <c r="G6" s="124"/>
      <c r="H6" s="124"/>
      <c r="I6" s="124"/>
      <c r="J6" s="124"/>
      <c r="K6" s="24"/>
      <c r="L6" s="31">
        <v>1</v>
      </c>
      <c r="M6" s="31">
        <v>1</v>
      </c>
      <c r="N6" s="28" t="str">
        <f>VLOOKUP(M6, $T$6:$Y$6, 6, FALSE)</f>
        <v xml:space="preserve">Agriculture, forestry and fishing </v>
      </c>
      <c r="P6" s="24"/>
      <c r="T6" s="93">
        <v>1</v>
      </c>
      <c r="U6" s="95" t="s">
        <v>410</v>
      </c>
      <c r="V6" s="94" t="s">
        <v>421</v>
      </c>
      <c r="W6" s="93" t="s">
        <v>411</v>
      </c>
      <c r="X6" s="95" t="s">
        <v>153</v>
      </c>
      <c r="Y6" s="94" t="s">
        <v>367</v>
      </c>
      <c r="Z6" s="93"/>
      <c r="AA6" s="95"/>
      <c r="AB6" s="94"/>
      <c r="AC6" s="419" t="s">
        <v>367</v>
      </c>
      <c r="AD6" s="419" t="s">
        <v>367</v>
      </c>
      <c r="AE6" s="352" t="s">
        <v>153</v>
      </c>
      <c r="AF6" s="352"/>
      <c r="AG6" s="258"/>
      <c r="AH6" s="258"/>
      <c r="AI6" s="258"/>
      <c r="AJ6" s="93">
        <v>1</v>
      </c>
      <c r="AK6" s="94" t="s">
        <v>153</v>
      </c>
      <c r="AL6" s="94" t="s">
        <v>414</v>
      </c>
      <c r="AM6" s="94" t="s">
        <v>387</v>
      </c>
      <c r="AN6" s="94"/>
      <c r="AO6" s="94"/>
      <c r="AP6" s="94"/>
    </row>
    <row r="7" spans="2:42">
      <c r="B7" s="124"/>
      <c r="C7" s="124"/>
      <c r="D7" s="170" t="str">
        <f>+INDEX($V$6:$V$6,M7) &amp; INDEX($AL$6:$AL$13,L7)</f>
        <v>AGDCO</v>
      </c>
      <c r="E7" s="122" t="str">
        <f t="shared" si="0"/>
        <v>Agriculture Demand Cooling</v>
      </c>
      <c r="F7" s="123" t="s">
        <v>44</v>
      </c>
      <c r="G7" s="124"/>
      <c r="H7" s="124"/>
      <c r="I7" s="124"/>
      <c r="J7" s="124"/>
      <c r="L7" s="31">
        <f>+L6+1</f>
        <v>2</v>
      </c>
      <c r="M7" s="30">
        <f t="shared" ref="M7:M12" si="1">+M6</f>
        <v>1</v>
      </c>
      <c r="P7" s="46"/>
      <c r="T7" s="527"/>
      <c r="U7" s="461"/>
      <c r="V7" s="375"/>
      <c r="W7" s="527"/>
      <c r="X7" s="461"/>
      <c r="Y7" s="375"/>
      <c r="Z7" s="375"/>
      <c r="AA7" s="375"/>
      <c r="AB7" s="375"/>
      <c r="AC7" s="375"/>
      <c r="AJ7" s="93">
        <v>2</v>
      </c>
      <c r="AK7" s="94" t="s">
        <v>153</v>
      </c>
      <c r="AL7" s="94" t="s">
        <v>415</v>
      </c>
      <c r="AM7" s="94" t="s">
        <v>388</v>
      </c>
      <c r="AN7" s="94"/>
      <c r="AO7" s="94"/>
      <c r="AP7" s="94"/>
    </row>
    <row r="8" spans="2:42">
      <c r="B8" s="124"/>
      <c r="C8" s="124"/>
      <c r="D8" s="170" t="str">
        <f t="shared" ref="D8:D12" si="2">+INDEX($V$6:$V$6,M8) &amp; INDEX($AL$6:$AL$13,L8)</f>
        <v>AGDSH</v>
      </c>
      <c r="E8" s="122" t="str">
        <f t="shared" si="0"/>
        <v>Agriculture Demand Spatial Heat</v>
      </c>
      <c r="F8" s="123" t="s">
        <v>44</v>
      </c>
      <c r="G8" s="124"/>
      <c r="H8" s="124"/>
      <c r="I8" s="124"/>
      <c r="J8" s="124"/>
      <c r="L8" s="31">
        <f>+L7+1</f>
        <v>3</v>
      </c>
      <c r="M8" s="30">
        <f t="shared" si="1"/>
        <v>1</v>
      </c>
      <c r="P8" s="46"/>
      <c r="T8" s="527"/>
      <c r="U8" s="461"/>
      <c r="V8" s="375"/>
      <c r="W8" s="527"/>
      <c r="X8" s="461"/>
      <c r="Y8" s="375"/>
      <c r="Z8" s="375"/>
      <c r="AA8" s="375"/>
      <c r="AB8" s="375"/>
      <c r="AC8" s="375"/>
      <c r="AE8" s="261"/>
      <c r="AJ8" s="93">
        <v>3</v>
      </c>
      <c r="AK8" s="94" t="s">
        <v>153</v>
      </c>
      <c r="AL8" s="94" t="s">
        <v>416</v>
      </c>
      <c r="AM8" s="94" t="s">
        <v>389</v>
      </c>
      <c r="AN8" s="94"/>
      <c r="AO8" s="94"/>
      <c r="AP8" s="94"/>
    </row>
    <row r="9" spans="2:42">
      <c r="B9" s="124"/>
      <c r="C9" s="124"/>
      <c r="D9" s="170" t="str">
        <f t="shared" si="2"/>
        <v>AGDLA</v>
      </c>
      <c r="E9" s="122" t="str">
        <f t="shared" si="0"/>
        <v>Agriculture Demand Light</v>
      </c>
      <c r="F9" s="123" t="s">
        <v>44</v>
      </c>
      <c r="G9" s="124"/>
      <c r="H9" s="124"/>
      <c r="I9" s="124"/>
      <c r="J9" s="124"/>
      <c r="L9" s="31">
        <f>+L8+1</f>
        <v>4</v>
      </c>
      <c r="M9" s="30">
        <f t="shared" si="1"/>
        <v>1</v>
      </c>
      <c r="P9" s="46"/>
      <c r="T9" s="527"/>
      <c r="U9" s="461"/>
      <c r="V9" s="375"/>
      <c r="W9" s="527"/>
      <c r="X9" s="461"/>
      <c r="Y9" s="375"/>
      <c r="Z9" s="375"/>
      <c r="AA9" s="375"/>
      <c r="AB9" s="375"/>
      <c r="AC9" s="375"/>
      <c r="AE9" s="261"/>
      <c r="AJ9" s="93">
        <v>4</v>
      </c>
      <c r="AK9" s="94" t="s">
        <v>153</v>
      </c>
      <c r="AL9" s="94" t="s">
        <v>417</v>
      </c>
      <c r="AM9" s="94" t="s">
        <v>150</v>
      </c>
      <c r="AN9" s="94"/>
      <c r="AO9" s="94"/>
      <c r="AP9" s="94"/>
    </row>
    <row r="10" spans="2:42">
      <c r="B10" s="124"/>
      <c r="C10" s="124"/>
      <c r="D10" s="170" t="str">
        <f t="shared" si="2"/>
        <v>AGDEM</v>
      </c>
      <c r="E10" s="122" t="str">
        <f t="shared" si="0"/>
        <v>Agriculture Demand Electric Motors</v>
      </c>
      <c r="F10" s="123" t="s">
        <v>44</v>
      </c>
      <c r="G10" s="124"/>
      <c r="H10" s="124"/>
      <c r="I10" s="124"/>
      <c r="J10" s="124"/>
      <c r="L10" s="31">
        <f t="shared" ref="L10:L11" si="3">+L9+1</f>
        <v>5</v>
      </c>
      <c r="M10" s="30">
        <f t="shared" si="1"/>
        <v>1</v>
      </c>
      <c r="P10" s="46"/>
      <c r="T10" s="527"/>
      <c r="U10" s="461"/>
      <c r="V10" s="375"/>
      <c r="W10" s="527"/>
      <c r="X10" s="461"/>
      <c r="Y10" s="375"/>
      <c r="Z10" s="375"/>
      <c r="AA10" s="375"/>
      <c r="AB10" s="375"/>
      <c r="AC10" s="375"/>
      <c r="AE10" s="531"/>
      <c r="AJ10" s="93">
        <v>5</v>
      </c>
      <c r="AK10" s="94" t="s">
        <v>153</v>
      </c>
      <c r="AL10" s="94" t="s">
        <v>418</v>
      </c>
      <c r="AM10" s="94" t="s">
        <v>149</v>
      </c>
      <c r="AN10" s="94"/>
      <c r="AO10" s="94"/>
      <c r="AP10" s="94"/>
    </row>
    <row r="11" spans="2:42">
      <c r="B11" s="123"/>
      <c r="C11" s="123"/>
      <c r="D11" s="170" t="str">
        <f t="shared" si="2"/>
        <v>AGDTF</v>
      </c>
      <c r="E11" s="122" t="str">
        <f t="shared" si="0"/>
        <v>Agriculture Demand Haulage Tractors, Trucks, Fishing boats, Forest machines</v>
      </c>
      <c r="F11" s="123" t="s">
        <v>44</v>
      </c>
      <c r="G11" s="124"/>
      <c r="H11" s="124"/>
      <c r="I11" s="124"/>
      <c r="J11" s="124"/>
      <c r="L11" s="31">
        <f t="shared" si="3"/>
        <v>6</v>
      </c>
      <c r="M11" s="30">
        <f t="shared" si="1"/>
        <v>1</v>
      </c>
      <c r="P11" s="46"/>
      <c r="T11" s="528"/>
      <c r="U11" s="461"/>
      <c r="V11" s="375"/>
      <c r="W11" s="527"/>
      <c r="X11" s="461"/>
      <c r="Y11" s="375"/>
      <c r="Z11" s="529"/>
      <c r="AA11" s="529"/>
      <c r="AB11" s="529"/>
      <c r="AC11" s="375"/>
      <c r="AE11" s="531"/>
      <c r="AH11" s="57"/>
      <c r="AI11" s="57"/>
      <c r="AJ11" s="93">
        <v>6</v>
      </c>
      <c r="AK11" s="94" t="s">
        <v>153</v>
      </c>
      <c r="AL11" s="94" t="s">
        <v>419</v>
      </c>
      <c r="AM11" s="94" t="s">
        <v>248</v>
      </c>
      <c r="AN11" s="94"/>
      <c r="AO11" s="94"/>
      <c r="AP11" s="94"/>
    </row>
    <row r="12" spans="2:42">
      <c r="B12" s="123"/>
      <c r="C12" s="123"/>
      <c r="D12" s="170" t="str">
        <f t="shared" si="2"/>
        <v>AGDFL</v>
      </c>
      <c r="E12" s="122" t="str">
        <f t="shared" si="0"/>
        <v>Agriculture Demand Haulage Forklifts</v>
      </c>
      <c r="F12" s="123" t="s">
        <v>44</v>
      </c>
      <c r="G12" s="124"/>
      <c r="H12" s="124"/>
      <c r="I12" s="124"/>
      <c r="J12" s="124"/>
      <c r="L12" s="31">
        <f>+L11+1</f>
        <v>7</v>
      </c>
      <c r="M12" s="30">
        <f t="shared" si="1"/>
        <v>1</v>
      </c>
      <c r="P12" s="46"/>
      <c r="T12" s="527"/>
      <c r="U12" s="461"/>
      <c r="V12" s="375"/>
      <c r="W12" s="527"/>
      <c r="X12" s="461"/>
      <c r="Y12" s="375"/>
      <c r="Z12" s="375"/>
      <c r="AA12" s="375"/>
      <c r="AB12" s="375"/>
      <c r="AC12" s="375"/>
      <c r="AE12" s="531"/>
      <c r="AJ12" s="93">
        <v>7</v>
      </c>
      <c r="AK12" s="94" t="s">
        <v>153</v>
      </c>
      <c r="AL12" s="94" t="s">
        <v>420</v>
      </c>
      <c r="AM12" s="94" t="s">
        <v>213</v>
      </c>
      <c r="AN12" s="94"/>
      <c r="AO12" s="94"/>
      <c r="AP12" s="94"/>
    </row>
    <row r="13" spans="2:42">
      <c r="B13" s="129" t="s">
        <v>257</v>
      </c>
      <c r="C13" s="129"/>
      <c r="D13" s="220" t="str">
        <f>"AGR"&amp;RIGHT(L13,LEN(L13)-3)</f>
        <v>AGRNGA</v>
      </c>
      <c r="E13" s="129" t="str">
        <f t="shared" ref="E13:E35" si="4">LEFT(M13,LEN(M13)-3)&amp;" AGR"</f>
        <v>Nat. Gas  AGR</v>
      </c>
      <c r="F13" s="129" t="s">
        <v>44</v>
      </c>
      <c r="G13" s="129"/>
      <c r="H13" s="129"/>
      <c r="I13" s="129"/>
      <c r="J13" s="129"/>
      <c r="L13" s="24" t="s">
        <v>72</v>
      </c>
      <c r="M13" s="24" t="s">
        <v>113</v>
      </c>
      <c r="T13" s="527"/>
      <c r="U13" s="461"/>
      <c r="V13" s="375"/>
      <c r="W13" s="527"/>
      <c r="X13" s="461"/>
      <c r="Y13" s="375"/>
      <c r="Z13" s="375"/>
      <c r="AA13" s="375"/>
      <c r="AB13" s="375"/>
      <c r="AC13" s="375"/>
      <c r="AE13" s="532"/>
      <c r="AJ13" s="93"/>
      <c r="AK13" s="94"/>
      <c r="AL13" s="94"/>
      <c r="AM13" s="94"/>
      <c r="AN13" s="94"/>
      <c r="AO13" s="94"/>
      <c r="AP13" s="94"/>
    </row>
    <row r="14" spans="2:42">
      <c r="B14" s="124"/>
      <c r="C14" s="124"/>
      <c r="D14" s="172" t="str">
        <f t="shared" ref="D14:D35" si="5">"AGR"&amp;RIGHT(L14,LEN(L14)-3)</f>
        <v>AGRCOA</v>
      </c>
      <c r="E14" s="124" t="str">
        <f t="shared" si="4"/>
        <v>Coal  AGR</v>
      </c>
      <c r="F14" s="123" t="s">
        <v>44</v>
      </c>
      <c r="G14" s="124"/>
      <c r="H14" s="124"/>
      <c r="I14" s="124"/>
      <c r="J14" s="124"/>
      <c r="L14" s="24" t="s">
        <v>94</v>
      </c>
      <c r="M14" s="24" t="s">
        <v>119</v>
      </c>
      <c r="T14" s="527"/>
      <c r="U14" s="461"/>
      <c r="V14" s="375"/>
      <c r="W14" s="527"/>
      <c r="X14" s="461"/>
      <c r="Y14" s="375"/>
      <c r="Z14" s="375"/>
      <c r="AA14" s="375"/>
      <c r="AB14" s="375"/>
      <c r="AC14" s="375"/>
      <c r="AE14" s="531"/>
    </row>
    <row r="15" spans="2:42">
      <c r="B15" s="124"/>
      <c r="C15" s="124"/>
      <c r="D15" s="172" t="str">
        <f t="shared" si="5"/>
        <v>AGRDSL</v>
      </c>
      <c r="E15" s="124" t="str">
        <f t="shared" si="4"/>
        <v>Diesel  AGR</v>
      </c>
      <c r="F15" s="123" t="s">
        <v>44</v>
      </c>
      <c r="G15" s="124"/>
      <c r="H15" s="124"/>
      <c r="I15" s="124"/>
      <c r="J15" s="124"/>
      <c r="L15" s="24" t="s">
        <v>73</v>
      </c>
      <c r="M15" s="24" t="s">
        <v>114</v>
      </c>
      <c r="T15" s="527"/>
      <c r="U15" s="461"/>
      <c r="V15" s="375"/>
      <c r="W15" s="527"/>
      <c r="X15" s="461"/>
      <c r="Y15" s="375"/>
      <c r="Z15" s="375"/>
      <c r="AA15" s="375"/>
      <c r="AB15" s="375"/>
      <c r="AC15" s="375"/>
      <c r="AE15" s="531"/>
      <c r="AH15" s="351"/>
      <c r="AI15" s="351"/>
    </row>
    <row r="16" spans="2:42">
      <c r="B16" s="124"/>
      <c r="C16" s="124"/>
      <c r="D16" s="172" t="str">
        <f t="shared" si="5"/>
        <v>AGRWPE</v>
      </c>
      <c r="E16" s="123" t="str">
        <f t="shared" si="4"/>
        <v>Wood Pellets  AGR</v>
      </c>
      <c r="F16" s="123" t="s">
        <v>44</v>
      </c>
      <c r="G16" s="124"/>
      <c r="H16" s="124"/>
      <c r="I16" s="124"/>
      <c r="J16" s="124"/>
      <c r="L16" s="24" t="s">
        <v>92</v>
      </c>
      <c r="M16" s="24" t="s">
        <v>115</v>
      </c>
      <c r="T16" s="527"/>
      <c r="U16" s="461"/>
      <c r="V16" s="375"/>
      <c r="W16" s="527"/>
      <c r="X16" s="461"/>
      <c r="Y16" s="375"/>
      <c r="Z16" s="375"/>
      <c r="AA16" s="375"/>
      <c r="AB16" s="375"/>
      <c r="AC16" s="375"/>
      <c r="AE16" s="531"/>
    </row>
    <row r="17" spans="1:31">
      <c r="B17" s="124"/>
      <c r="C17" s="124"/>
      <c r="D17" s="172" t="str">
        <f t="shared" si="5"/>
        <v>AGRWCH</v>
      </c>
      <c r="E17" s="123" t="str">
        <f>LEFT(M17,LEN(M17)-3)&amp;" AGR"</f>
        <v>Wood chips and wood waste  AGR</v>
      </c>
      <c r="F17" s="123" t="s">
        <v>44</v>
      </c>
      <c r="G17" s="124"/>
      <c r="H17" s="124"/>
      <c r="I17" s="124"/>
      <c r="J17" s="124"/>
      <c r="L17" s="24" t="s">
        <v>107</v>
      </c>
      <c r="M17" s="24" t="s">
        <v>117</v>
      </c>
      <c r="T17" s="527"/>
      <c r="U17" s="527"/>
      <c r="V17" s="527"/>
      <c r="W17" s="527"/>
      <c r="X17" s="461"/>
      <c r="Y17" s="375"/>
      <c r="Z17" s="375"/>
      <c r="AA17" s="375"/>
      <c r="AB17" s="375"/>
      <c r="AC17" s="375"/>
      <c r="AE17" s="533"/>
    </row>
    <row r="18" spans="1:31">
      <c r="B18" s="124"/>
      <c r="C18" s="124"/>
      <c r="D18" s="172" t="str">
        <f t="shared" si="5"/>
        <v>AGRBGA</v>
      </c>
      <c r="E18" s="124" t="str">
        <f t="shared" si="4"/>
        <v>Biogas  AGR</v>
      </c>
      <c r="F18" s="123" t="s">
        <v>44</v>
      </c>
      <c r="G18" s="124"/>
      <c r="H18" s="124"/>
      <c r="I18" s="124"/>
      <c r="J18" s="124"/>
      <c r="L18" s="24" t="s">
        <v>81</v>
      </c>
      <c r="M18" s="24" t="s">
        <v>118</v>
      </c>
      <c r="T18" s="527"/>
      <c r="U18" s="527"/>
      <c r="V18" s="527"/>
      <c r="W18" s="527"/>
      <c r="X18" s="461"/>
      <c r="Y18" s="375"/>
      <c r="Z18" s="375"/>
      <c r="AA18" s="375"/>
      <c r="AB18" s="375"/>
      <c r="AC18" s="375"/>
      <c r="AE18" s="531"/>
    </row>
    <row r="19" spans="1:31">
      <c r="B19" s="124"/>
      <c r="C19" s="124"/>
      <c r="D19" s="172" t="str">
        <f t="shared" si="5"/>
        <v>AGRHFO</v>
      </c>
      <c r="E19" s="124" t="str">
        <f t="shared" si="4"/>
        <v>Heavy Fuel Oil  AGR</v>
      </c>
      <c r="F19" s="123" t="s">
        <v>44</v>
      </c>
      <c r="G19" s="124"/>
      <c r="H19" s="124"/>
      <c r="I19" s="124"/>
      <c r="J19" s="124"/>
      <c r="L19" s="24" t="s">
        <v>82</v>
      </c>
      <c r="M19" s="24" t="s">
        <v>124</v>
      </c>
      <c r="T19" s="375"/>
      <c r="U19" s="375"/>
      <c r="V19" s="375"/>
      <c r="W19" s="375"/>
      <c r="X19" s="375"/>
      <c r="Y19" s="375"/>
      <c r="Z19" s="375"/>
      <c r="AA19" s="375"/>
      <c r="AB19" s="375"/>
      <c r="AC19" s="375"/>
      <c r="AE19" s="531"/>
    </row>
    <row r="20" spans="1:31">
      <c r="B20" s="124"/>
      <c r="C20" s="124"/>
      <c r="D20" s="172" t="str">
        <f t="shared" si="5"/>
        <v>AGRLPG</v>
      </c>
      <c r="E20" s="124" t="str">
        <f t="shared" si="4"/>
        <v>Liquid petrol gas  AGR</v>
      </c>
      <c r="F20" s="123" t="s">
        <v>44</v>
      </c>
      <c r="G20" s="124"/>
      <c r="H20" s="124"/>
      <c r="I20" s="124"/>
      <c r="J20" s="124"/>
      <c r="L20" s="24" t="s">
        <v>83</v>
      </c>
      <c r="M20" s="24" t="s">
        <v>121</v>
      </c>
      <c r="T20" s="524"/>
      <c r="U20" s="375"/>
      <c r="V20" s="375"/>
      <c r="W20" s="375"/>
      <c r="X20" s="375"/>
      <c r="Y20" s="375"/>
      <c r="Z20" s="375"/>
      <c r="AA20" s="375"/>
      <c r="AB20" s="375"/>
      <c r="AC20" s="375"/>
      <c r="AE20" s="531"/>
    </row>
    <row r="21" spans="1:31">
      <c r="B21" s="124"/>
      <c r="C21" s="124"/>
      <c r="D21" s="172" t="str">
        <f t="shared" si="5"/>
        <v>AGRWST</v>
      </c>
      <c r="E21" s="124" t="str">
        <f t="shared" si="4"/>
        <v>Waste  AGR</v>
      </c>
      <c r="F21" s="123" t="s">
        <v>44</v>
      </c>
      <c r="G21" s="124"/>
      <c r="H21" s="124"/>
      <c r="I21" s="124"/>
      <c r="J21" s="124"/>
      <c r="L21" s="24" t="s">
        <v>84</v>
      </c>
      <c r="M21" s="24" t="s">
        <v>120</v>
      </c>
      <c r="T21" s="375"/>
      <c r="U21" s="375"/>
      <c r="V21" s="375"/>
      <c r="W21" s="375"/>
      <c r="X21" s="375"/>
      <c r="Y21" s="375"/>
      <c r="Z21" s="375"/>
      <c r="AA21" s="375"/>
      <c r="AB21" s="375"/>
      <c r="AC21" s="375"/>
      <c r="AE21" s="261"/>
    </row>
    <row r="22" spans="1:31">
      <c r="B22" s="123"/>
      <c r="C22" s="123"/>
      <c r="D22" s="172" t="str">
        <f t="shared" si="5"/>
        <v>AGRHCE</v>
      </c>
      <c r="E22" s="124" t="str">
        <f t="shared" si="4"/>
        <v>Centralised District Heat  AGR</v>
      </c>
      <c r="F22" s="123" t="s">
        <v>44</v>
      </c>
      <c r="G22" s="124"/>
      <c r="H22" s="124" t="s">
        <v>60</v>
      </c>
      <c r="I22" s="124"/>
      <c r="J22" s="124"/>
      <c r="L22" s="261" t="s">
        <v>75</v>
      </c>
      <c r="M22" s="261" t="s">
        <v>122</v>
      </c>
      <c r="N22" s="261"/>
      <c r="O22" s="261"/>
      <c r="P22" s="261"/>
      <c r="Q22" s="261"/>
      <c r="R22" s="261"/>
      <c r="T22" s="375"/>
      <c r="U22" s="375"/>
      <c r="V22" s="375"/>
      <c r="W22" s="375"/>
      <c r="X22" s="375"/>
      <c r="Y22" s="375"/>
      <c r="Z22" s="375"/>
      <c r="AA22" s="375"/>
      <c r="AB22" s="375"/>
      <c r="AC22" s="375"/>
      <c r="AE22" s="261"/>
    </row>
    <row r="23" spans="1:31" s="257" customFormat="1">
      <c r="A23" s="24"/>
      <c r="B23" s="285"/>
      <c r="C23" s="285"/>
      <c r="D23" s="172" t="str">
        <f>"AGR"&amp;RIGHT(L23,LEN(L23)-3)</f>
        <v>AGRHSE</v>
      </c>
      <c r="E23" s="124" t="str">
        <f t="shared" ref="E23" si="6">LEFT(M23,LEN(M23)-3)&amp;" AGR"</f>
        <v>SubUrban District Heat  AGR</v>
      </c>
      <c r="F23" s="285" t="s">
        <v>44</v>
      </c>
      <c r="G23" s="124"/>
      <c r="H23" s="124" t="s">
        <v>60</v>
      </c>
      <c r="I23" s="124"/>
      <c r="J23" s="124"/>
      <c r="L23" s="261" t="s">
        <v>425</v>
      </c>
      <c r="M23" s="261" t="s">
        <v>426</v>
      </c>
      <c r="N23" s="261"/>
      <c r="O23" s="261"/>
      <c r="P23" s="261"/>
      <c r="Q23" s="261"/>
      <c r="R23" s="261"/>
      <c r="T23" s="375"/>
      <c r="U23" s="375"/>
      <c r="V23" s="375"/>
      <c r="W23" s="375"/>
      <c r="X23" s="375"/>
      <c r="Y23" s="375"/>
      <c r="Z23" s="375"/>
      <c r="AA23" s="375"/>
      <c r="AB23" s="375"/>
      <c r="AC23" s="375"/>
      <c r="AE23" s="261"/>
    </row>
    <row r="24" spans="1:31">
      <c r="B24" s="124"/>
      <c r="C24" s="124"/>
      <c r="D24" s="170" t="str">
        <f t="shared" si="5"/>
        <v>AGRHDE</v>
      </c>
      <c r="E24" s="123" t="str">
        <f t="shared" si="4"/>
        <v>Decentralised District Heat  AGR</v>
      </c>
      <c r="F24" s="123" t="s">
        <v>44</v>
      </c>
      <c r="G24" s="123"/>
      <c r="H24" s="123" t="s">
        <v>60</v>
      </c>
      <c r="I24" s="123"/>
      <c r="J24" s="123"/>
      <c r="L24" s="261" t="s">
        <v>76</v>
      </c>
      <c r="M24" s="261" t="s">
        <v>123</v>
      </c>
      <c r="N24" s="261"/>
      <c r="O24" s="261"/>
      <c r="P24" s="261"/>
      <c r="Q24" s="261"/>
      <c r="R24" s="261"/>
      <c r="T24" s="525"/>
      <c r="U24" s="525"/>
      <c r="V24" s="525"/>
      <c r="W24" s="525"/>
      <c r="X24" s="526"/>
      <c r="Y24" s="526"/>
      <c r="Z24" s="526"/>
      <c r="AA24" s="526"/>
      <c r="AB24" s="526"/>
      <c r="AC24" s="375"/>
      <c r="AE24" s="261"/>
    </row>
    <row r="25" spans="1:31">
      <c r="B25" s="123"/>
      <c r="C25" s="123"/>
      <c r="D25" s="170" t="str">
        <f t="shared" si="5"/>
        <v>AGRELC</v>
      </c>
      <c r="E25" s="123" t="str">
        <f t="shared" si="4"/>
        <v>Electricity  AGR</v>
      </c>
      <c r="F25" s="123" t="s">
        <v>44</v>
      </c>
      <c r="G25" s="123"/>
      <c r="H25" s="123" t="s">
        <v>60</v>
      </c>
      <c r="I25" s="123"/>
      <c r="J25" s="123" t="s">
        <v>61</v>
      </c>
      <c r="L25" s="261" t="s">
        <v>74</v>
      </c>
      <c r="M25" s="261" t="s">
        <v>116</v>
      </c>
      <c r="N25" s="261"/>
      <c r="O25" s="261"/>
      <c r="P25" s="261"/>
      <c r="Q25" s="261"/>
      <c r="R25" s="261"/>
      <c r="T25" s="527"/>
      <c r="U25" s="527"/>
      <c r="V25" s="527"/>
      <c r="W25" s="527"/>
      <c r="X25" s="461"/>
      <c r="Y25" s="375"/>
      <c r="Z25" s="375"/>
      <c r="AA25" s="375"/>
      <c r="AB25" s="375"/>
      <c r="AC25" s="375"/>
      <c r="AE25" s="261"/>
    </row>
    <row r="26" spans="1:31">
      <c r="B26" s="123"/>
      <c r="C26" s="123"/>
      <c r="D26" s="173" t="str">
        <f t="shared" si="5"/>
        <v>AGRSOL</v>
      </c>
      <c r="E26" s="127" t="str">
        <f t="shared" si="4"/>
        <v>Solar  AGR</v>
      </c>
      <c r="F26" s="127" t="s">
        <v>44</v>
      </c>
      <c r="G26" s="123"/>
      <c r="H26" s="123"/>
      <c r="I26" s="123"/>
      <c r="J26" s="123"/>
      <c r="L26" s="261" t="s">
        <v>125</v>
      </c>
      <c r="M26" s="261" t="s">
        <v>126</v>
      </c>
      <c r="N26" s="261"/>
      <c r="O26" s="261"/>
      <c r="P26" s="261"/>
      <c r="Q26" s="261"/>
      <c r="R26" s="261"/>
      <c r="T26" s="527"/>
      <c r="U26" s="527"/>
      <c r="V26" s="527"/>
      <c r="W26" s="527"/>
      <c r="X26" s="461"/>
      <c r="Y26" s="375"/>
      <c r="Z26" s="375"/>
      <c r="AA26" s="375"/>
      <c r="AB26" s="375"/>
      <c r="AC26" s="375"/>
      <c r="AE26" s="261"/>
    </row>
    <row r="27" spans="1:31">
      <c r="B27" s="123"/>
      <c r="C27" s="123"/>
      <c r="D27" s="170" t="str">
        <f t="shared" si="5"/>
        <v>AGRDSB1</v>
      </c>
      <c r="E27" s="122" t="str">
        <f t="shared" si="4"/>
        <v>Biodiesel 1. generation  AGR</v>
      </c>
      <c r="F27" s="123" t="s">
        <v>44</v>
      </c>
      <c r="G27" s="123"/>
      <c r="H27" s="123"/>
      <c r="I27" s="123"/>
      <c r="J27" s="123"/>
      <c r="L27" s="261" t="s">
        <v>129</v>
      </c>
      <c r="M27" s="261" t="s">
        <v>176</v>
      </c>
      <c r="N27" s="261"/>
      <c r="O27" s="261"/>
      <c r="P27" s="261"/>
      <c r="Q27" s="261"/>
      <c r="R27" s="261"/>
      <c r="T27" s="527"/>
      <c r="U27" s="527"/>
      <c r="V27" s="527"/>
      <c r="W27" s="527"/>
      <c r="X27" s="461"/>
      <c r="Y27" s="375"/>
      <c r="Z27" s="375"/>
      <c r="AA27" s="375"/>
      <c r="AB27" s="375"/>
      <c r="AC27" s="375"/>
    </row>
    <row r="28" spans="1:31">
      <c r="B28" s="123"/>
      <c r="C28" s="123"/>
      <c r="D28" s="170" t="str">
        <f t="shared" si="5"/>
        <v>AGRDSB2</v>
      </c>
      <c r="E28" s="123" t="str">
        <f t="shared" si="4"/>
        <v>Biodiesel 2. generation  AGR</v>
      </c>
      <c r="F28" s="123" t="s">
        <v>44</v>
      </c>
      <c r="G28" s="123"/>
      <c r="H28" s="123"/>
      <c r="I28" s="123"/>
      <c r="J28" s="123"/>
      <c r="L28" s="261" t="s">
        <v>130</v>
      </c>
      <c r="M28" s="261" t="s">
        <v>177</v>
      </c>
      <c r="N28" s="261"/>
      <c r="O28" s="261"/>
      <c r="P28" s="261"/>
      <c r="Q28" s="261"/>
      <c r="R28" s="261"/>
      <c r="T28" s="527"/>
      <c r="U28" s="527"/>
      <c r="V28" s="527"/>
      <c r="W28" s="527"/>
      <c r="X28" s="461"/>
      <c r="Y28" s="375"/>
      <c r="Z28" s="375"/>
      <c r="AA28" s="375"/>
      <c r="AB28" s="375"/>
      <c r="AC28" s="375"/>
    </row>
    <row r="29" spans="1:31">
      <c r="B29" s="123"/>
      <c r="C29" s="123"/>
      <c r="D29" s="173" t="str">
        <f t="shared" si="5"/>
        <v>AGRSNG1</v>
      </c>
      <c r="E29" s="127" t="str">
        <f t="shared" si="4"/>
        <v>Bio Synt. Nat. Gas 1. generation  AGR</v>
      </c>
      <c r="F29" s="127" t="s">
        <v>44</v>
      </c>
      <c r="G29" s="123"/>
      <c r="H29" s="123"/>
      <c r="I29" s="123"/>
      <c r="J29" s="123"/>
      <c r="L29" s="261" t="s">
        <v>131</v>
      </c>
      <c r="M29" s="261" t="s">
        <v>178</v>
      </c>
      <c r="N29" s="261"/>
      <c r="O29" s="261"/>
      <c r="P29" s="261"/>
      <c r="Q29" s="261"/>
      <c r="R29" s="261"/>
      <c r="T29" s="528"/>
      <c r="U29" s="528"/>
      <c r="V29" s="528"/>
      <c r="W29" s="528"/>
      <c r="X29" s="530"/>
      <c r="Y29" s="529"/>
      <c r="Z29" s="529"/>
      <c r="AA29" s="529"/>
      <c r="AB29" s="529"/>
      <c r="AC29" s="375"/>
    </row>
    <row r="30" spans="1:31">
      <c r="B30" s="123"/>
      <c r="C30" s="123"/>
      <c r="D30" s="170" t="str">
        <f t="shared" si="5"/>
        <v>AGRSNG2</v>
      </c>
      <c r="E30" s="122" t="str">
        <f t="shared" si="4"/>
        <v>Bio Synt. Nat. Gas 2. generation  AGR</v>
      </c>
      <c r="F30" s="123" t="s">
        <v>44</v>
      </c>
      <c r="G30" s="123"/>
      <c r="H30" s="123"/>
      <c r="I30" s="123"/>
      <c r="J30" s="123"/>
      <c r="L30" s="261" t="s">
        <v>132</v>
      </c>
      <c r="M30" s="261" t="s">
        <v>179</v>
      </c>
      <c r="N30" s="261"/>
      <c r="O30" s="261"/>
      <c r="P30" s="261"/>
      <c r="Q30" s="261"/>
      <c r="R30" s="261"/>
      <c r="T30" s="527"/>
      <c r="U30" s="527"/>
      <c r="V30" s="527"/>
      <c r="W30" s="527"/>
      <c r="X30" s="461"/>
      <c r="Y30" s="375"/>
      <c r="Z30" s="375"/>
      <c r="AA30" s="375"/>
      <c r="AB30" s="375"/>
      <c r="AC30" s="375"/>
    </row>
    <row r="31" spans="1:31">
      <c r="B31" s="123"/>
      <c r="C31" s="123"/>
      <c r="D31" s="170" t="str">
        <f t="shared" si="5"/>
        <v>AGRGSL</v>
      </c>
      <c r="E31" s="122" t="str">
        <f t="shared" si="4"/>
        <v>Gasoline  AGR</v>
      </c>
      <c r="F31" s="123" t="s">
        <v>44</v>
      </c>
      <c r="G31" s="123"/>
      <c r="H31" s="123"/>
      <c r="I31" s="123"/>
      <c r="J31" s="123"/>
      <c r="L31" s="261" t="s">
        <v>189</v>
      </c>
      <c r="M31" s="261" t="s">
        <v>194</v>
      </c>
      <c r="N31" s="261"/>
      <c r="O31" s="261"/>
      <c r="P31" s="261"/>
      <c r="Q31" s="261"/>
      <c r="R31" s="261"/>
      <c r="T31" s="527"/>
      <c r="U31" s="527"/>
      <c r="V31" s="527"/>
      <c r="W31" s="527"/>
      <c r="X31" s="461"/>
      <c r="Y31" s="375"/>
      <c r="Z31" s="375"/>
      <c r="AA31" s="375"/>
      <c r="AB31" s="375"/>
      <c r="AC31" s="375"/>
    </row>
    <row r="32" spans="1:31">
      <c r="B32" s="123"/>
      <c r="C32" s="123"/>
      <c r="D32" s="170" t="str">
        <f t="shared" si="5"/>
        <v>AGRGSB1</v>
      </c>
      <c r="E32" s="122" t="str">
        <f t="shared" si="4"/>
        <v>Bioethanol 1. generation  AGR</v>
      </c>
      <c r="F32" s="123" t="s">
        <v>44</v>
      </c>
      <c r="G32" s="123"/>
      <c r="H32" s="123"/>
      <c r="I32" s="123"/>
      <c r="J32" s="123"/>
      <c r="L32" s="261" t="s">
        <v>190</v>
      </c>
      <c r="M32" s="261" t="s">
        <v>196</v>
      </c>
      <c r="N32" s="261"/>
      <c r="O32" s="261"/>
      <c r="P32" s="261"/>
      <c r="Q32" s="261"/>
      <c r="R32" s="261"/>
      <c r="T32" s="527"/>
      <c r="U32" s="527"/>
      <c r="V32" s="527"/>
      <c r="W32" s="527"/>
      <c r="X32" s="375"/>
      <c r="Y32" s="375"/>
      <c r="Z32" s="375"/>
      <c r="AA32" s="375"/>
      <c r="AB32" s="375"/>
      <c r="AC32" s="375"/>
    </row>
    <row r="33" spans="2:29">
      <c r="B33" s="126"/>
      <c r="C33" s="126"/>
      <c r="D33" s="171" t="str">
        <f t="shared" si="5"/>
        <v>AGRGSB2</v>
      </c>
      <c r="E33" s="125" t="str">
        <f t="shared" si="4"/>
        <v>Bioethanol 2. generation  AGR</v>
      </c>
      <c r="F33" s="126" t="s">
        <v>44</v>
      </c>
      <c r="G33" s="126"/>
      <c r="H33" s="126"/>
      <c r="I33" s="126"/>
      <c r="J33" s="126"/>
      <c r="L33" s="261" t="s">
        <v>191</v>
      </c>
      <c r="M33" s="261" t="s">
        <v>197</v>
      </c>
      <c r="N33" s="261"/>
      <c r="O33" s="261"/>
      <c r="P33" s="261"/>
      <c r="Q33" s="261"/>
      <c r="R33" s="261"/>
      <c r="T33" s="527"/>
      <c r="U33" s="528"/>
      <c r="V33" s="527"/>
      <c r="W33" s="528"/>
      <c r="X33" s="461"/>
      <c r="Y33" s="375"/>
      <c r="Z33" s="375"/>
      <c r="AA33" s="375"/>
      <c r="AB33" s="375"/>
      <c r="AC33" s="375"/>
    </row>
    <row r="34" spans="2:29">
      <c r="B34" s="126"/>
      <c r="C34" s="126"/>
      <c r="D34" s="171" t="str">
        <f>"AGR"&amp;RIGHT(L34,LEN(L34)-3)</f>
        <v>AGRH2</v>
      </c>
      <c r="E34" s="125" t="str">
        <f t="shared" si="4"/>
        <v>Hydrogen  AGR</v>
      </c>
      <c r="F34" s="126" t="s">
        <v>44</v>
      </c>
      <c r="G34" s="126"/>
      <c r="H34" s="126"/>
      <c r="I34" s="126"/>
      <c r="J34" s="126"/>
      <c r="K34" s="257"/>
      <c r="L34" s="261" t="s">
        <v>304</v>
      </c>
      <c r="M34" s="261" t="s">
        <v>306</v>
      </c>
      <c r="N34" s="261"/>
      <c r="O34" s="261"/>
      <c r="P34" s="261"/>
      <c r="Q34" s="261"/>
      <c r="R34" s="261"/>
      <c r="T34" s="527"/>
      <c r="U34" s="527"/>
      <c r="V34" s="527"/>
      <c r="W34" s="527"/>
      <c r="X34" s="461"/>
      <c r="Y34" s="375"/>
      <c r="Z34" s="375"/>
      <c r="AA34" s="375"/>
      <c r="AB34" s="375"/>
      <c r="AC34" s="375"/>
    </row>
    <row r="35" spans="2:29">
      <c r="B35" s="379"/>
      <c r="C35" s="379"/>
      <c r="D35" s="539" t="str">
        <f t="shared" si="5"/>
        <v>AGRBLQ</v>
      </c>
      <c r="E35" s="540" t="str">
        <f t="shared" si="4"/>
        <v>Black liquor  AGR</v>
      </c>
      <c r="F35" s="379" t="s">
        <v>44</v>
      </c>
      <c r="G35" s="379"/>
      <c r="H35" s="379"/>
      <c r="I35" s="379"/>
      <c r="J35" s="379"/>
      <c r="K35" s="257"/>
      <c r="L35" s="261" t="s">
        <v>301</v>
      </c>
      <c r="M35" s="261" t="s">
        <v>302</v>
      </c>
      <c r="N35" s="261"/>
      <c r="O35" s="261"/>
      <c r="P35" s="261"/>
      <c r="Q35" s="261"/>
      <c r="R35" s="261"/>
      <c r="T35" s="527"/>
      <c r="U35" s="527"/>
      <c r="V35" s="527"/>
      <c r="W35" s="527"/>
      <c r="X35" s="461"/>
      <c r="Y35" s="375"/>
      <c r="Z35" s="375"/>
      <c r="AA35" s="375"/>
      <c r="AB35" s="375"/>
      <c r="AC35" s="375"/>
    </row>
    <row r="36" spans="2:29">
      <c r="B36" s="129" t="s">
        <v>63</v>
      </c>
      <c r="C36" s="129"/>
      <c r="D36" s="170" t="s">
        <v>412</v>
      </c>
      <c r="E36" s="123" t="s">
        <v>413</v>
      </c>
      <c r="F36" s="123" t="s">
        <v>64</v>
      </c>
      <c r="G36" s="128"/>
      <c r="H36" s="129"/>
      <c r="I36" s="129"/>
      <c r="J36" s="129"/>
      <c r="L36" s="219"/>
      <c r="M36" s="219"/>
      <c r="N36" s="261"/>
      <c r="O36" s="261"/>
      <c r="P36" s="261"/>
      <c r="Q36" s="261"/>
      <c r="R36" s="261"/>
      <c r="T36" s="527"/>
      <c r="U36" s="527"/>
      <c r="V36" s="527"/>
      <c r="W36" s="527"/>
      <c r="X36" s="461"/>
      <c r="Y36" s="375"/>
      <c r="Z36" s="375"/>
      <c r="AA36" s="375"/>
      <c r="AB36" s="375"/>
      <c r="AC36" s="375"/>
    </row>
    <row r="37" spans="2:29">
      <c r="B37" s="544"/>
      <c r="C37" s="544"/>
      <c r="D37" s="545"/>
      <c r="E37" s="544"/>
      <c r="F37" s="544"/>
      <c r="G37" s="546"/>
      <c r="H37" s="544"/>
      <c r="I37" s="544"/>
      <c r="J37" s="544"/>
      <c r="L37" s="219"/>
      <c r="M37" s="542"/>
      <c r="N37" s="261"/>
      <c r="O37" s="261"/>
      <c r="P37" s="261"/>
      <c r="Q37" s="261"/>
      <c r="R37" s="261"/>
      <c r="T37" s="375"/>
      <c r="U37" s="375"/>
      <c r="V37" s="375"/>
      <c r="W37" s="375"/>
      <c r="X37" s="375"/>
      <c r="Y37" s="375"/>
      <c r="Z37" s="375"/>
      <c r="AA37" s="375"/>
      <c r="AB37" s="375"/>
      <c r="AC37" s="375"/>
    </row>
    <row r="38" spans="2:29">
      <c r="B38" s="547"/>
      <c r="C38" s="547"/>
      <c r="D38" s="548"/>
      <c r="E38" s="547"/>
      <c r="F38" s="547"/>
      <c r="G38" s="549"/>
      <c r="H38" s="547"/>
      <c r="I38" s="547"/>
      <c r="J38" s="547"/>
      <c r="L38" s="77"/>
      <c r="M38" s="542"/>
      <c r="N38" s="261"/>
      <c r="O38" s="261"/>
      <c r="P38" s="261"/>
      <c r="Q38" s="261"/>
      <c r="R38" s="261"/>
    </row>
    <row r="39" spans="2:29">
      <c r="B39" s="547"/>
      <c r="C39" s="547"/>
      <c r="D39" s="548"/>
      <c r="E39" s="547"/>
      <c r="F39" s="547"/>
      <c r="G39" s="549"/>
      <c r="H39" s="547"/>
      <c r="I39" s="547"/>
      <c r="J39" s="547"/>
      <c r="L39" s="77"/>
      <c r="M39" s="542"/>
      <c r="N39" s="261"/>
      <c r="O39" s="261"/>
      <c r="P39" s="261"/>
      <c r="Q39" s="261"/>
      <c r="R39" s="261"/>
      <c r="S39" s="257"/>
    </row>
    <row r="40" spans="2:29">
      <c r="B40" s="547"/>
      <c r="C40" s="547"/>
      <c r="D40" s="548"/>
      <c r="E40" s="547"/>
      <c r="F40" s="547"/>
      <c r="G40" s="549"/>
      <c r="H40" s="547"/>
      <c r="I40" s="547"/>
      <c r="J40" s="547"/>
      <c r="L40" s="77"/>
      <c r="M40" s="542"/>
      <c r="N40" s="261"/>
      <c r="O40" s="261"/>
      <c r="P40" s="261"/>
      <c r="Q40" s="261"/>
      <c r="R40" s="261"/>
      <c r="S40" s="257"/>
    </row>
    <row r="41" spans="2:29">
      <c r="B41" s="547"/>
      <c r="C41" s="547"/>
      <c r="D41" s="548"/>
      <c r="E41" s="547"/>
      <c r="F41" s="547"/>
      <c r="G41" s="549"/>
      <c r="H41" s="547"/>
      <c r="I41" s="547"/>
      <c r="J41" s="547"/>
      <c r="L41" s="77"/>
      <c r="M41" s="542"/>
      <c r="N41" s="261"/>
      <c r="O41" s="261"/>
      <c r="P41" s="543"/>
      <c r="Q41" s="261"/>
      <c r="R41" s="261"/>
      <c r="S41" s="257"/>
    </row>
    <row r="42" spans="2:29">
      <c r="B42" s="547"/>
      <c r="C42" s="547"/>
      <c r="D42" s="548"/>
      <c r="E42" s="547"/>
      <c r="F42" s="547"/>
      <c r="G42" s="549"/>
      <c r="H42" s="547"/>
      <c r="I42" s="547"/>
      <c r="J42" s="547"/>
      <c r="L42" s="77"/>
      <c r="M42" s="542"/>
      <c r="N42" s="261"/>
      <c r="O42" s="261"/>
      <c r="P42" s="261"/>
      <c r="Q42" s="261"/>
      <c r="R42" s="261"/>
      <c r="S42" s="257"/>
    </row>
    <row r="43" spans="2:29">
      <c r="B43" s="547"/>
      <c r="C43" s="547"/>
      <c r="D43" s="548"/>
      <c r="E43" s="547"/>
      <c r="F43" s="547"/>
      <c r="G43" s="549"/>
      <c r="H43" s="547"/>
      <c r="I43" s="547"/>
      <c r="J43" s="547"/>
      <c r="L43" s="77"/>
      <c r="M43" s="542"/>
      <c r="N43" s="261"/>
      <c r="O43" s="261"/>
      <c r="P43" s="261"/>
      <c r="Q43" s="261"/>
      <c r="R43" s="261"/>
      <c r="S43" s="257"/>
    </row>
    <row r="44" spans="2:29">
      <c r="B44" s="547"/>
      <c r="C44" s="547"/>
      <c r="D44" s="548"/>
      <c r="E44" s="547"/>
      <c r="F44" s="547"/>
      <c r="G44" s="549"/>
      <c r="H44" s="547"/>
      <c r="I44" s="547"/>
      <c r="J44" s="547"/>
      <c r="L44" s="77"/>
      <c r="M44" s="542"/>
      <c r="N44" s="261"/>
      <c r="O44" s="261"/>
      <c r="P44" s="261"/>
      <c r="Q44" s="261"/>
      <c r="R44" s="261"/>
    </row>
    <row r="45" spans="2:29">
      <c r="B45" s="547"/>
      <c r="C45" s="547"/>
      <c r="D45" s="548"/>
      <c r="E45" s="547"/>
      <c r="F45" s="547"/>
      <c r="G45" s="549"/>
      <c r="H45" s="547"/>
      <c r="I45" s="547"/>
      <c r="J45" s="547"/>
      <c r="L45" s="77"/>
      <c r="M45" s="542"/>
      <c r="N45" s="261"/>
      <c r="O45" s="261"/>
      <c r="P45" s="261"/>
      <c r="Q45" s="261"/>
      <c r="R45" s="261"/>
    </row>
    <row r="46" spans="2:29">
      <c r="B46" s="547"/>
      <c r="C46" s="547"/>
      <c r="D46" s="548"/>
      <c r="E46" s="547"/>
      <c r="F46" s="547"/>
      <c r="G46" s="549"/>
      <c r="H46" s="547"/>
      <c r="I46" s="547"/>
      <c r="J46" s="547"/>
      <c r="L46" s="77"/>
      <c r="M46" s="542"/>
      <c r="N46" s="261"/>
      <c r="O46" s="261"/>
      <c r="P46" s="261"/>
      <c r="Q46" s="261"/>
      <c r="R46" s="261"/>
    </row>
    <row r="47" spans="2:29">
      <c r="B47" s="547"/>
      <c r="C47" s="547"/>
      <c r="D47" s="548"/>
      <c r="E47" s="547"/>
      <c r="F47" s="547"/>
      <c r="G47" s="549"/>
      <c r="H47" s="547"/>
      <c r="I47" s="547"/>
      <c r="J47" s="547"/>
      <c r="L47" s="77"/>
      <c r="M47" s="542"/>
      <c r="N47" s="261"/>
      <c r="O47" s="261"/>
      <c r="P47" s="261"/>
      <c r="Q47" s="261"/>
      <c r="R47" s="261"/>
    </row>
    <row r="48" spans="2:29">
      <c r="B48" s="547"/>
      <c r="C48" s="547"/>
      <c r="D48" s="547"/>
      <c r="E48" s="547"/>
      <c r="F48" s="547"/>
      <c r="G48" s="547"/>
      <c r="H48" s="547"/>
      <c r="I48" s="547"/>
      <c r="J48" s="547"/>
      <c r="K48" s="261"/>
      <c r="L48" s="77"/>
      <c r="M48" s="542"/>
      <c r="N48" s="77"/>
      <c r="O48" s="77"/>
      <c r="P48" s="261"/>
      <c r="Q48" s="261"/>
      <c r="R48" s="261"/>
    </row>
    <row r="49" spans="2:42">
      <c r="B49" s="547"/>
      <c r="C49" s="547"/>
      <c r="D49" s="548"/>
      <c r="E49" s="547"/>
      <c r="F49" s="547"/>
      <c r="G49" s="549"/>
      <c r="H49" s="547"/>
      <c r="I49" s="547"/>
      <c r="J49" s="547"/>
      <c r="K49" s="261"/>
      <c r="L49" s="77"/>
      <c r="M49" s="542"/>
      <c r="N49" s="261"/>
      <c r="O49" s="261"/>
      <c r="P49" s="261"/>
      <c r="Q49" s="261"/>
      <c r="R49" s="261"/>
    </row>
    <row r="50" spans="2:42">
      <c r="B50" s="495"/>
      <c r="C50" s="495"/>
      <c r="D50" s="495"/>
      <c r="E50" s="495"/>
      <c r="F50" s="495"/>
      <c r="G50" s="495"/>
      <c r="H50" s="495"/>
      <c r="I50" s="495"/>
      <c r="J50" s="495"/>
      <c r="K50" s="261"/>
      <c r="L50" s="219"/>
      <c r="M50" s="219"/>
      <c r="N50" s="261"/>
      <c r="O50" s="261"/>
      <c r="P50" s="261"/>
      <c r="Q50" s="261"/>
      <c r="R50" s="261"/>
    </row>
    <row r="51" spans="2:42">
      <c r="B51" s="261"/>
      <c r="C51" s="261"/>
      <c r="D51" s="261"/>
      <c r="E51" s="261"/>
      <c r="F51" s="261"/>
      <c r="G51" s="261"/>
      <c r="H51" s="261"/>
      <c r="I51" s="261"/>
      <c r="J51" s="261"/>
      <c r="K51" s="261"/>
      <c r="L51" s="219"/>
      <c r="M51" s="219"/>
      <c r="N51" s="261"/>
      <c r="O51" s="261"/>
      <c r="P51" s="261"/>
      <c r="Q51" s="261"/>
      <c r="R51" s="261"/>
      <c r="T51" s="40"/>
      <c r="U51" s="40"/>
      <c r="V51" s="40"/>
      <c r="W51" s="40"/>
      <c r="Z51" s="40"/>
      <c r="AA51" s="40"/>
      <c r="AB51" s="40"/>
      <c r="AC51" s="40"/>
      <c r="AD51" s="261"/>
      <c r="AE51" s="261"/>
      <c r="AF51" s="261"/>
      <c r="AG51" s="261"/>
    </row>
    <row r="52" spans="2:42">
      <c r="B52" s="261"/>
      <c r="C52" s="261"/>
      <c r="D52" s="261"/>
      <c r="E52" s="261"/>
      <c r="F52" s="261"/>
      <c r="G52" s="261"/>
      <c r="H52" s="261"/>
      <c r="I52" s="261"/>
      <c r="J52" s="261"/>
      <c r="K52" s="261"/>
      <c r="L52" s="219"/>
      <c r="M52" s="219"/>
      <c r="N52" s="261"/>
      <c r="O52" s="261"/>
      <c r="P52" s="261"/>
      <c r="Q52" s="261"/>
      <c r="R52" s="261"/>
      <c r="T52" s="40"/>
      <c r="U52" s="40"/>
      <c r="V52" s="40"/>
      <c r="W52" s="40"/>
      <c r="X52" s="40"/>
      <c r="Y52" s="40"/>
      <c r="Z52" s="40"/>
      <c r="AA52" s="40"/>
      <c r="AB52" s="40"/>
      <c r="AC52" s="40"/>
      <c r="AD52" s="261"/>
      <c r="AE52" s="261"/>
      <c r="AF52" s="261"/>
      <c r="AG52" s="261"/>
    </row>
    <row r="53" spans="2:42">
      <c r="B53" s="261"/>
      <c r="C53" s="261"/>
      <c r="D53" s="261"/>
      <c r="E53" s="261"/>
      <c r="F53" s="261"/>
      <c r="G53" s="261"/>
      <c r="H53" s="261"/>
      <c r="I53" s="261"/>
      <c r="J53" s="261"/>
      <c r="K53" s="261"/>
      <c r="L53" s="219"/>
      <c r="M53" s="219"/>
      <c r="N53" s="261"/>
      <c r="O53" s="261"/>
      <c r="P53" s="261"/>
      <c r="Q53" s="261"/>
      <c r="R53" s="261"/>
      <c r="T53" s="40"/>
      <c r="U53" s="40"/>
      <c r="V53" s="40"/>
      <c r="W53" s="40"/>
      <c r="X53" s="40"/>
      <c r="Y53" s="40"/>
      <c r="Z53" s="40"/>
      <c r="AA53" s="40"/>
      <c r="AB53" s="40"/>
      <c r="AC53" s="40"/>
      <c r="AD53" s="261"/>
      <c r="AE53" s="261"/>
      <c r="AF53" s="261"/>
      <c r="AG53" s="261"/>
    </row>
    <row r="54" spans="2:42">
      <c r="T54" s="40"/>
      <c r="U54" s="40"/>
      <c r="V54" s="40"/>
      <c r="W54" s="40"/>
      <c r="X54" s="40"/>
      <c r="Y54" s="40"/>
      <c r="Z54" s="40"/>
      <c r="AA54" s="40"/>
      <c r="AB54" s="40"/>
      <c r="AC54" s="40"/>
      <c r="AD54" s="261"/>
      <c r="AE54" s="261"/>
      <c r="AF54" s="261"/>
      <c r="AG54" s="261"/>
    </row>
    <row r="55" spans="2:42">
      <c r="T55" s="40"/>
      <c r="U55" s="40"/>
      <c r="V55" s="40"/>
      <c r="W55" s="40"/>
      <c r="X55" s="40"/>
      <c r="Y55" s="40"/>
      <c r="Z55" s="40"/>
      <c r="AA55" s="40"/>
      <c r="AB55" s="40"/>
      <c r="AC55" s="40"/>
      <c r="AD55" s="261"/>
      <c r="AE55" s="261"/>
      <c r="AF55" s="261"/>
      <c r="AG55" s="261"/>
    </row>
    <row r="56" spans="2:42">
      <c r="X56" s="40"/>
      <c r="Y56" s="40"/>
    </row>
    <row r="58" spans="2:42">
      <c r="T58" s="40"/>
      <c r="U58" s="40"/>
      <c r="V58" s="40"/>
      <c r="W58" s="40"/>
      <c r="Z58" s="40"/>
      <c r="AA58" s="40"/>
      <c r="AB58" s="40"/>
      <c r="AC58" s="40"/>
      <c r="AD58" s="261"/>
      <c r="AE58" s="261"/>
      <c r="AF58" s="261"/>
      <c r="AG58" s="261"/>
    </row>
    <row r="59" spans="2:42">
      <c r="X59" s="40"/>
      <c r="Y59" s="40"/>
    </row>
    <row r="64" spans="2:42" s="40" customFormat="1">
      <c r="B64" s="24"/>
      <c r="C64" s="24"/>
      <c r="D64" s="24"/>
      <c r="E64" s="24"/>
      <c r="F64" s="24"/>
      <c r="G64" s="24"/>
      <c r="H64" s="24"/>
      <c r="I64" s="24"/>
      <c r="J64" s="24"/>
      <c r="K64" s="24"/>
      <c r="L64" s="30"/>
      <c r="M64" s="30"/>
      <c r="N64" s="24"/>
      <c r="O64" s="24"/>
      <c r="P64" s="24"/>
      <c r="Q64" s="24"/>
      <c r="R64" s="24"/>
      <c r="S64" s="24"/>
      <c r="T64" s="24"/>
      <c r="U64" s="24"/>
      <c r="V64" s="24"/>
      <c r="W64" s="24"/>
      <c r="X64" s="24"/>
      <c r="Y64" s="24"/>
      <c r="Z64" s="24"/>
      <c r="AA64" s="24"/>
      <c r="AB64" s="24"/>
      <c r="AC64" s="24"/>
      <c r="AD64" s="257"/>
      <c r="AE64" s="257"/>
      <c r="AF64" s="257"/>
      <c r="AG64" s="257"/>
      <c r="AH64" s="257"/>
      <c r="AI64" s="257"/>
      <c r="AJ64" s="24"/>
      <c r="AK64" s="24"/>
      <c r="AL64" s="24"/>
      <c r="AM64" s="24"/>
      <c r="AN64" s="24"/>
      <c r="AO64" s="24"/>
      <c r="AP64" s="24"/>
    </row>
    <row r="65" spans="1:42" s="40" customFormat="1">
      <c r="B65" s="24"/>
      <c r="C65" s="24"/>
      <c r="D65" s="24"/>
      <c r="E65" s="24"/>
      <c r="F65" s="24"/>
      <c r="G65" s="24"/>
      <c r="H65" s="24"/>
      <c r="I65" s="24"/>
      <c r="J65" s="24"/>
      <c r="K65" s="24"/>
      <c r="L65" s="30"/>
      <c r="M65" s="30"/>
      <c r="N65" s="24"/>
      <c r="O65" s="24"/>
      <c r="P65" s="24"/>
      <c r="Q65" s="24"/>
      <c r="R65" s="24"/>
      <c r="S65" s="24"/>
      <c r="T65" s="24"/>
      <c r="U65" s="24"/>
      <c r="V65" s="24"/>
      <c r="W65" s="24"/>
      <c r="X65" s="24"/>
      <c r="Y65" s="24"/>
      <c r="Z65" s="24"/>
      <c r="AA65" s="24"/>
      <c r="AB65" s="24"/>
      <c r="AC65" s="24"/>
      <c r="AD65" s="257"/>
      <c r="AE65" s="257"/>
      <c r="AF65" s="257"/>
      <c r="AG65" s="257"/>
      <c r="AH65" s="257"/>
      <c r="AI65" s="257"/>
      <c r="AJ65" s="24"/>
      <c r="AK65" s="24"/>
      <c r="AL65" s="24"/>
      <c r="AM65" s="24"/>
      <c r="AN65" s="24"/>
      <c r="AO65" s="24"/>
      <c r="AP65" s="24"/>
    </row>
    <row r="66" spans="1:42" s="40" customFormat="1">
      <c r="B66" s="24"/>
      <c r="C66" s="24"/>
      <c r="D66" s="24"/>
      <c r="E66" s="24"/>
      <c r="F66" s="24"/>
      <c r="G66" s="24"/>
      <c r="H66" s="24"/>
      <c r="I66" s="24"/>
      <c r="J66" s="24"/>
      <c r="K66" s="24"/>
      <c r="L66" s="30"/>
      <c r="M66" s="30"/>
      <c r="N66" s="24"/>
      <c r="O66" s="24"/>
      <c r="P66" s="24"/>
      <c r="Q66" s="24"/>
      <c r="R66" s="24"/>
      <c r="S66" s="24"/>
      <c r="T66" s="24"/>
      <c r="U66" s="24"/>
      <c r="V66" s="24"/>
      <c r="W66" s="24"/>
      <c r="X66" s="24"/>
      <c r="Y66" s="24"/>
      <c r="Z66" s="24"/>
      <c r="AA66" s="24"/>
      <c r="AB66" s="24"/>
      <c r="AC66" s="24"/>
      <c r="AD66" s="257"/>
      <c r="AE66" s="257"/>
      <c r="AF66" s="257"/>
      <c r="AG66" s="257"/>
      <c r="AH66" s="257"/>
      <c r="AI66" s="257"/>
      <c r="AJ66" s="24"/>
      <c r="AK66" s="24"/>
      <c r="AL66" s="24"/>
      <c r="AM66" s="24"/>
      <c r="AN66" s="24"/>
      <c r="AO66" s="24"/>
      <c r="AP66" s="24"/>
    </row>
    <row r="67" spans="1:42" s="40" customFormat="1">
      <c r="A67" s="24"/>
      <c r="B67" s="24"/>
      <c r="C67" s="24"/>
      <c r="D67" s="24"/>
      <c r="E67" s="24"/>
      <c r="F67" s="24"/>
      <c r="G67" s="24"/>
      <c r="H67" s="24"/>
      <c r="I67" s="24"/>
      <c r="J67" s="24"/>
      <c r="K67" s="24"/>
      <c r="L67" s="30"/>
      <c r="M67" s="30"/>
      <c r="N67" s="24"/>
      <c r="O67" s="24"/>
      <c r="P67" s="24"/>
      <c r="Q67" s="24"/>
      <c r="R67" s="24"/>
      <c r="S67" s="24"/>
      <c r="T67" s="24"/>
      <c r="U67" s="24"/>
      <c r="V67" s="24"/>
      <c r="W67" s="24"/>
      <c r="X67" s="24"/>
      <c r="Y67" s="24"/>
      <c r="Z67" s="24"/>
      <c r="AA67" s="24"/>
      <c r="AB67" s="24"/>
      <c r="AC67" s="24"/>
      <c r="AD67" s="257"/>
      <c r="AE67" s="257"/>
      <c r="AF67" s="257"/>
      <c r="AG67" s="257"/>
      <c r="AH67" s="257"/>
      <c r="AI67" s="257"/>
      <c r="AJ67" s="24"/>
      <c r="AK67" s="24"/>
      <c r="AL67" s="24"/>
      <c r="AM67" s="24"/>
      <c r="AN67" s="24"/>
      <c r="AO67" s="24"/>
      <c r="AP67" s="24"/>
    </row>
    <row r="68" spans="1:42" s="40" customFormat="1">
      <c r="A68" s="24"/>
      <c r="B68" s="24"/>
      <c r="C68" s="24"/>
      <c r="D68" s="24"/>
      <c r="E68" s="24"/>
      <c r="F68" s="24"/>
      <c r="G68" s="24"/>
      <c r="H68" s="24"/>
      <c r="I68" s="24"/>
      <c r="J68" s="24"/>
      <c r="K68" s="24"/>
      <c r="L68" s="30"/>
      <c r="M68" s="30"/>
      <c r="N68" s="24"/>
      <c r="O68" s="24"/>
      <c r="P68" s="24"/>
      <c r="Q68" s="24"/>
      <c r="R68" s="24"/>
      <c r="S68" s="24"/>
      <c r="T68" s="24"/>
      <c r="U68" s="24"/>
      <c r="V68" s="24"/>
      <c r="W68" s="24"/>
      <c r="X68" s="24"/>
      <c r="Y68" s="24"/>
      <c r="Z68" s="24"/>
      <c r="AA68" s="24"/>
      <c r="AB68" s="24"/>
      <c r="AC68" s="24"/>
      <c r="AD68" s="257"/>
      <c r="AE68" s="257"/>
      <c r="AF68" s="257"/>
      <c r="AG68" s="257"/>
      <c r="AH68" s="257"/>
      <c r="AI68" s="257"/>
      <c r="AJ68" s="24"/>
      <c r="AK68" s="24"/>
      <c r="AL68" s="24"/>
      <c r="AM68" s="24"/>
      <c r="AN68" s="24"/>
      <c r="AO68" s="24"/>
      <c r="AP68" s="24"/>
    </row>
    <row r="69" spans="1:42">
      <c r="AH69" s="261"/>
      <c r="AI69" s="261"/>
      <c r="AJ69" s="40"/>
      <c r="AK69" s="40"/>
      <c r="AL69" s="40"/>
      <c r="AM69" s="40"/>
      <c r="AN69" s="40"/>
      <c r="AO69" s="40"/>
      <c r="AP69" s="40"/>
    </row>
    <row r="70" spans="1:42">
      <c r="AH70" s="261"/>
      <c r="AI70" s="261"/>
      <c r="AJ70" s="40"/>
      <c r="AK70" s="40"/>
      <c r="AL70" s="40"/>
      <c r="AM70" s="40"/>
      <c r="AN70" s="40"/>
      <c r="AO70" s="40"/>
      <c r="AP70" s="40"/>
    </row>
    <row r="71" spans="1:42" s="40" customFormat="1">
      <c r="A71" s="24"/>
      <c r="B71" s="24"/>
      <c r="C71" s="24"/>
      <c r="D71" s="24"/>
      <c r="E71" s="24"/>
      <c r="F71" s="24"/>
      <c r="G71" s="24"/>
      <c r="H71" s="24"/>
      <c r="I71" s="24"/>
      <c r="J71" s="24"/>
      <c r="K71" s="24"/>
      <c r="L71" s="30"/>
      <c r="M71" s="30"/>
      <c r="N71" s="24"/>
      <c r="O71" s="24"/>
      <c r="P71" s="24"/>
      <c r="Q71" s="24"/>
      <c r="R71" s="24"/>
      <c r="S71" s="24"/>
      <c r="T71" s="24"/>
      <c r="U71" s="24"/>
      <c r="V71" s="24"/>
      <c r="W71" s="24"/>
      <c r="X71" s="24"/>
      <c r="Y71" s="24"/>
      <c r="Z71" s="24"/>
      <c r="AA71" s="24"/>
      <c r="AB71" s="24"/>
      <c r="AC71" s="24"/>
      <c r="AD71" s="257"/>
      <c r="AE71" s="257"/>
      <c r="AF71" s="257"/>
      <c r="AG71" s="257"/>
      <c r="AH71" s="261"/>
      <c r="AI71" s="261"/>
    </row>
    <row r="72" spans="1:42">
      <c r="AH72" s="261"/>
      <c r="AI72" s="261"/>
      <c r="AJ72" s="40"/>
      <c r="AK72" s="40"/>
      <c r="AL72" s="40"/>
      <c r="AM72" s="40"/>
      <c r="AN72" s="40"/>
      <c r="AO72" s="40"/>
      <c r="AP72" s="40"/>
    </row>
    <row r="73" spans="1:42">
      <c r="AH73" s="261"/>
      <c r="AI73" s="261"/>
      <c r="AJ73" s="40"/>
      <c r="AK73" s="40"/>
      <c r="AL73" s="40"/>
      <c r="AM73" s="40"/>
      <c r="AN73" s="40"/>
      <c r="AO73" s="40"/>
      <c r="AP73" s="40"/>
    </row>
    <row r="76" spans="1:42">
      <c r="AH76" s="261"/>
      <c r="AI76" s="261"/>
      <c r="AJ76" s="40"/>
      <c r="AK76" s="40"/>
      <c r="AL76" s="40"/>
      <c r="AM76" s="40"/>
      <c r="AN76" s="40"/>
      <c r="AO76" s="40"/>
      <c r="AP76" s="40"/>
    </row>
    <row r="79" spans="1:42">
      <c r="A79" s="40"/>
    </row>
    <row r="80" spans="1:42">
      <c r="A80" s="40"/>
    </row>
    <row r="81" spans="1:1">
      <c r="A81" s="40"/>
    </row>
    <row r="82" spans="1:1">
      <c r="A82" s="40"/>
    </row>
    <row r="83" spans="1:1">
      <c r="A83" s="40"/>
    </row>
    <row r="84" spans="1:1">
      <c r="A84" s="44"/>
    </row>
    <row r="85" spans="1:1">
      <c r="A85" s="44"/>
    </row>
    <row r="86" spans="1:1">
      <c r="A86" s="44"/>
    </row>
    <row r="87" spans="1:1">
      <c r="A87" s="44"/>
    </row>
    <row r="88" spans="1:1">
      <c r="A88" s="44"/>
    </row>
    <row r="89" spans="1:1">
      <c r="A89" s="44"/>
    </row>
    <row r="90" spans="1:1">
      <c r="A90" s="44"/>
    </row>
    <row r="91" spans="1:1">
      <c r="A91" s="44"/>
    </row>
    <row r="92" spans="1:1">
      <c r="A92" s="44"/>
    </row>
    <row r="93" spans="1:1">
      <c r="A93" s="44"/>
    </row>
    <row r="94" spans="1:1">
      <c r="A94" s="44"/>
    </row>
    <row r="95" spans="1:1">
      <c r="A95" s="44"/>
    </row>
    <row r="96" spans="1:1">
      <c r="A96" s="44"/>
    </row>
    <row r="97" spans="1:29">
      <c r="A97" s="44"/>
    </row>
    <row r="98" spans="1:29">
      <c r="A98" s="44"/>
    </row>
    <row r="99" spans="1:29">
      <c r="A99" s="44"/>
    </row>
    <row r="100" spans="1:29">
      <c r="A100" s="44"/>
      <c r="T100" s="257"/>
      <c r="U100" s="257"/>
      <c r="V100" s="257"/>
      <c r="W100" s="257"/>
      <c r="X100" s="257"/>
      <c r="Y100" s="257"/>
      <c r="Z100" s="257"/>
      <c r="AA100" s="257"/>
      <c r="AB100" s="257"/>
      <c r="AC100" s="257"/>
    </row>
    <row r="101" spans="1:29">
      <c r="A101" s="44"/>
      <c r="T101" s="257"/>
      <c r="U101" s="257"/>
      <c r="V101" s="257"/>
      <c r="W101" s="257"/>
      <c r="X101" s="257"/>
      <c r="Y101" s="257"/>
      <c r="Z101" s="257"/>
      <c r="AA101" s="257"/>
      <c r="AB101" s="257"/>
      <c r="AC101" s="257"/>
    </row>
    <row r="102" spans="1:29">
      <c r="A102" s="44"/>
    </row>
    <row r="105" spans="1:29">
      <c r="A105" s="40"/>
      <c r="T105" s="257"/>
    </row>
    <row r="106" spans="1:29">
      <c r="T106" s="257"/>
    </row>
    <row r="107" spans="1:29">
      <c r="T107" s="257"/>
    </row>
    <row r="108" spans="1:29">
      <c r="T108" s="257"/>
    </row>
    <row r="109" spans="1:29">
      <c r="T109" s="257"/>
    </row>
    <row r="118" spans="2:29" s="257" customFormat="1">
      <c r="B118" s="24"/>
      <c r="C118" s="24"/>
      <c r="D118" s="24"/>
      <c r="E118" s="24"/>
      <c r="F118" s="24"/>
      <c r="G118" s="24"/>
      <c r="H118" s="24"/>
      <c r="I118" s="24"/>
      <c r="J118" s="24"/>
      <c r="K118" s="24"/>
      <c r="L118" s="30"/>
      <c r="M118" s="30"/>
      <c r="N118" s="24"/>
      <c r="O118" s="24"/>
      <c r="P118" s="24"/>
      <c r="Q118" s="24"/>
      <c r="R118" s="24"/>
      <c r="S118" s="24"/>
      <c r="T118" s="24"/>
      <c r="U118" s="24"/>
      <c r="V118" s="24"/>
      <c r="W118" s="24"/>
      <c r="X118" s="24"/>
      <c r="Y118" s="24"/>
      <c r="Z118" s="24"/>
      <c r="AA118" s="24"/>
      <c r="AB118" s="24"/>
      <c r="AC118" s="24"/>
    </row>
    <row r="119" spans="2:29" s="257" customFormat="1">
      <c r="B119" s="24"/>
      <c r="C119" s="24"/>
      <c r="D119" s="24"/>
      <c r="E119" s="24"/>
      <c r="F119" s="24"/>
      <c r="G119" s="24"/>
      <c r="H119" s="24"/>
      <c r="I119" s="24"/>
      <c r="J119" s="24"/>
      <c r="K119" s="24"/>
      <c r="L119" s="30"/>
      <c r="M119" s="30"/>
      <c r="N119" s="24"/>
      <c r="O119" s="24"/>
      <c r="P119" s="24"/>
      <c r="Q119" s="24"/>
      <c r="R119" s="24"/>
      <c r="S119" s="24"/>
      <c r="T119" s="24"/>
      <c r="U119" s="24"/>
      <c r="V119" s="24"/>
      <c r="W119" s="24"/>
      <c r="X119" s="24"/>
      <c r="Y119" s="24"/>
      <c r="Z119" s="24"/>
      <c r="AA119" s="24"/>
      <c r="AB119" s="24"/>
      <c r="AC119" s="24"/>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324"/>
  <sheetViews>
    <sheetView showGridLines="0" topLeftCell="C1" zoomScale="90" zoomScaleNormal="90" workbookViewId="0">
      <selection activeCell="Q32" sqref="Q32"/>
    </sheetView>
  </sheetViews>
  <sheetFormatPr baseColWidth="10" defaultColWidth="9.1640625" defaultRowHeight="12.75" customHeight="1"/>
  <cols>
    <col min="1" max="2" width="9.1640625" style="115"/>
    <col min="3" max="3" width="58.6640625" style="115" customWidth="1"/>
    <col min="4" max="4" width="10.1640625" style="115" bestFit="1" customWidth="1"/>
    <col min="5" max="7" width="12.5" style="115" customWidth="1"/>
    <col min="8" max="8" width="9.1640625" style="115"/>
    <col min="9" max="9" width="14.83203125" style="115" bestFit="1" customWidth="1"/>
    <col min="10" max="14" width="6.5" style="115" customWidth="1"/>
    <col min="15" max="15" width="1.1640625" style="115" customWidth="1"/>
    <col min="16" max="16384" width="9.1640625" style="115"/>
  </cols>
  <sheetData>
    <row r="2" spans="2:16" ht="12.75" customHeight="1">
      <c r="B2" s="78">
        <f>Agriculture!V76</f>
        <v>2010</v>
      </c>
      <c r="C2" s="78" t="s">
        <v>86</v>
      </c>
      <c r="D2" s="24"/>
      <c r="E2" s="24"/>
      <c r="F2" s="24"/>
      <c r="G2" s="257"/>
      <c r="I2" s="194" t="s">
        <v>210</v>
      </c>
      <c r="J2" s="194"/>
      <c r="K2" s="194"/>
      <c r="L2" s="194"/>
      <c r="M2" s="194"/>
      <c r="N2" s="194"/>
    </row>
    <row r="3" spans="2:16" ht="12.75" customHeight="1">
      <c r="B3" s="152" t="s">
        <v>175</v>
      </c>
      <c r="D3" s="216" t="s">
        <v>145</v>
      </c>
      <c r="E3" s="215">
        <v>7</v>
      </c>
      <c r="F3" s="24"/>
      <c r="G3" s="257"/>
    </row>
    <row r="4" spans="2:16" ht="12.75" customHeight="1">
      <c r="B4" s="24"/>
      <c r="C4" s="24"/>
      <c r="D4" s="24"/>
      <c r="E4" s="24"/>
      <c r="F4" s="24"/>
      <c r="G4" s="257"/>
      <c r="I4" s="196" t="s">
        <v>161</v>
      </c>
      <c r="J4" s="196"/>
      <c r="K4" s="196"/>
      <c r="L4" s="196"/>
      <c r="M4" s="196"/>
      <c r="N4" s="196"/>
    </row>
    <row r="5" spans="2:16" ht="12.75" customHeight="1">
      <c r="B5" s="43" t="s">
        <v>8</v>
      </c>
      <c r="C5" s="43"/>
      <c r="D5" s="44"/>
      <c r="E5" s="24"/>
      <c r="F5" s="24"/>
      <c r="G5" s="257"/>
    </row>
    <row r="6" spans="2:16" ht="30">
      <c r="B6" s="45" t="s">
        <v>4</v>
      </c>
      <c r="C6" s="45" t="s">
        <v>127</v>
      </c>
      <c r="D6" s="149" t="s">
        <v>27</v>
      </c>
      <c r="E6" s="45" t="s">
        <v>444</v>
      </c>
      <c r="F6" s="45" t="s">
        <v>454</v>
      </c>
      <c r="G6" s="45" t="s">
        <v>465</v>
      </c>
      <c r="I6" s="197" t="s">
        <v>207</v>
      </c>
      <c r="J6" s="198" t="s">
        <v>445</v>
      </c>
      <c r="K6" s="198" t="s">
        <v>455</v>
      </c>
      <c r="L6" s="198" t="s">
        <v>466</v>
      </c>
      <c r="M6" s="199" t="s">
        <v>208</v>
      </c>
      <c r="N6" s="199" t="s">
        <v>209</v>
      </c>
      <c r="P6" s="208" t="s">
        <v>95</v>
      </c>
    </row>
    <row r="7" spans="2:16" ht="12.75" customHeight="1">
      <c r="B7" s="148" t="str">
        <f>+Commodities!D6</f>
        <v>AGDPH</v>
      </c>
      <c r="C7" s="148" t="str">
        <f>+Commodities!E6</f>
        <v>Agriculture Demand Process heat</v>
      </c>
      <c r="D7" s="150" t="str">
        <f>+Commodities!F6</f>
        <v>PJ</v>
      </c>
      <c r="E7" s="155">
        <f ca="1">+SUM(INDIRECT("'" &amp; $I7 &amp; "'!" &amp; J7 &amp; $M7 &amp; IF(ISBLANK($N7),"",":" &amp; J7 &amp; $N7)))</f>
        <v>28.773713575599999</v>
      </c>
      <c r="F7" s="155">
        <f t="shared" ref="F7:F13" ca="1" si="0">+SUM(INDIRECT("'" &amp; $I7 &amp; "'!" &amp; K7 &amp; $M7 &amp; IF(ISBLANK($N7),"",":" &amp; K7 &amp; $N7)))</f>
        <v>0</v>
      </c>
      <c r="G7" s="155">
        <f t="shared" ref="G7:G13" ca="1" si="1">+SUM(INDIRECT("'" &amp; $I7 &amp; "'!" &amp; L7 &amp; $M7 &amp; IF(ISBLANK($N7),"",":" &amp; L7 &amp; $N7)))</f>
        <v>0</v>
      </c>
      <c r="I7" s="200" t="str">
        <f>Commodities!AE6</f>
        <v>Agriculture</v>
      </c>
      <c r="J7" s="201" t="str">
        <f>SUBSTITUTE(ADDRESS(1,COLUMN(Agriculture!AQ1),4),"1","")</f>
        <v>AQ</v>
      </c>
      <c r="K7" s="201" t="str">
        <f>SUBSTITUTE(ADDRESS(1,COLUMN(Agriculture!AR1),4),"1","")</f>
        <v>AR</v>
      </c>
      <c r="L7" s="201" t="str">
        <f>SUBSTITUTE(ADDRESS(1,COLUMN(Agriculture!AS1),4),"1","")</f>
        <v>AS</v>
      </c>
      <c r="M7" s="202">
        <v>26</v>
      </c>
      <c r="N7" s="202">
        <v>37</v>
      </c>
      <c r="P7" s="207">
        <f ca="1">+SUM(INDIRECT("'" &amp; I7 &amp; "'!" &amp; "AQ26:AR62")) - SUM(E7:F13)</f>
        <v>0</v>
      </c>
    </row>
    <row r="8" spans="2:16" ht="12.75" customHeight="1">
      <c r="B8" s="148" t="str">
        <f>+Commodities!D7</f>
        <v>AGDCO</v>
      </c>
      <c r="C8" s="148" t="str">
        <f>+Commodities!E7</f>
        <v>Agriculture Demand Cooling</v>
      </c>
      <c r="D8" s="150" t="str">
        <f>+Commodities!F7</f>
        <v>PJ</v>
      </c>
      <c r="E8" s="155">
        <f t="shared" ref="E8:E13" ca="1" si="2">+SUM(INDIRECT("'" &amp; $I8 &amp; "'!" &amp; J8 &amp; $M8 &amp; IF(ISBLANK($N8),"",":" &amp; J8 &amp; $N8)))</f>
        <v>0</v>
      </c>
      <c r="F8" s="155">
        <f t="shared" ca="1" si="0"/>
        <v>0</v>
      </c>
      <c r="G8" s="155">
        <f t="shared" ca="1" si="1"/>
        <v>0</v>
      </c>
      <c r="I8" s="204" t="str">
        <f>+I7</f>
        <v>Agriculture</v>
      </c>
      <c r="J8" s="205" t="str">
        <f>+J7</f>
        <v>AQ</v>
      </c>
      <c r="K8" s="205" t="str">
        <f>+K7</f>
        <v>AR</v>
      </c>
      <c r="L8" s="205" t="str">
        <f>+L7</f>
        <v>AS</v>
      </c>
      <c r="M8" s="203">
        <v>38</v>
      </c>
      <c r="N8" s="203">
        <v>46</v>
      </c>
      <c r="P8" s="206"/>
    </row>
    <row r="9" spans="2:16" ht="12.75" customHeight="1">
      <c r="B9" s="148" t="str">
        <f>+Commodities!D8</f>
        <v>AGDSH</v>
      </c>
      <c r="C9" s="148" t="str">
        <f>+Commodities!E8</f>
        <v>Agriculture Demand Spatial Heat</v>
      </c>
      <c r="D9" s="150" t="str">
        <f>+Commodities!F8</f>
        <v>PJ</v>
      </c>
      <c r="E9" s="155">
        <f t="shared" ca="1" si="2"/>
        <v>0</v>
      </c>
      <c r="F9" s="155">
        <f t="shared" ca="1" si="0"/>
        <v>0</v>
      </c>
      <c r="G9" s="155">
        <f t="shared" ca="1" si="1"/>
        <v>0</v>
      </c>
      <c r="I9" s="204" t="str">
        <f t="shared" ref="I9:I13" si="3">+I8</f>
        <v>Agriculture</v>
      </c>
      <c r="J9" s="205" t="str">
        <f>+J8</f>
        <v>AQ</v>
      </c>
      <c r="K9" s="205" t="str">
        <f>+K8</f>
        <v>AR</v>
      </c>
      <c r="L9" s="205" t="str">
        <f>+L8</f>
        <v>AS</v>
      </c>
      <c r="M9" s="203">
        <v>47</v>
      </c>
      <c r="N9" s="202">
        <v>58</v>
      </c>
    </row>
    <row r="10" spans="2:16" ht="12.75" customHeight="1">
      <c r="B10" s="148" t="str">
        <f>+Commodities!D9</f>
        <v>AGDLA</v>
      </c>
      <c r="C10" s="148" t="str">
        <f>+Commodities!E9</f>
        <v>Agriculture Demand Light</v>
      </c>
      <c r="D10" s="150" t="str">
        <f>+Commodities!F9</f>
        <v>PJ</v>
      </c>
      <c r="E10" s="155">
        <f t="shared" ca="1" si="2"/>
        <v>0</v>
      </c>
      <c r="F10" s="155">
        <f t="shared" ca="1" si="0"/>
        <v>0</v>
      </c>
      <c r="G10" s="155">
        <f t="shared" ca="1" si="1"/>
        <v>0</v>
      </c>
      <c r="I10" s="204" t="str">
        <f t="shared" si="3"/>
        <v>Agriculture</v>
      </c>
      <c r="J10" s="205" t="str">
        <f t="shared" ref="J10:K13" si="4">+J9</f>
        <v>AQ</v>
      </c>
      <c r="K10" s="205" t="str">
        <f>+K9</f>
        <v>AR</v>
      </c>
      <c r="L10" s="205" t="str">
        <f>+L9</f>
        <v>AS</v>
      </c>
      <c r="M10" s="203">
        <v>59</v>
      </c>
      <c r="N10" s="202"/>
    </row>
    <row r="11" spans="2:16" ht="12.75" customHeight="1">
      <c r="B11" s="148" t="str">
        <f>+Commodities!D10</f>
        <v>AGDEM</v>
      </c>
      <c r="C11" s="148" t="str">
        <f>+Commodities!E10</f>
        <v>Agriculture Demand Electric Motors</v>
      </c>
      <c r="D11" s="150" t="str">
        <f>+Commodities!F10</f>
        <v>PJ</v>
      </c>
      <c r="E11" s="155">
        <f t="shared" ca="1" si="2"/>
        <v>0</v>
      </c>
      <c r="F11" s="155">
        <f t="shared" ca="1" si="0"/>
        <v>0</v>
      </c>
      <c r="G11" s="155">
        <f t="shared" ca="1" si="1"/>
        <v>0</v>
      </c>
      <c r="I11" s="204" t="str">
        <f t="shared" si="3"/>
        <v>Agriculture</v>
      </c>
      <c r="J11" s="205" t="str">
        <f t="shared" si="4"/>
        <v>AQ</v>
      </c>
      <c r="K11" s="205" t="str">
        <f t="shared" si="4"/>
        <v>AR</v>
      </c>
      <c r="L11" s="205" t="str">
        <f t="shared" ref="L11" si="5">+L10</f>
        <v>AS</v>
      </c>
      <c r="M11" s="203">
        <v>60</v>
      </c>
      <c r="N11" s="202"/>
    </row>
    <row r="12" spans="2:16" ht="12.75" customHeight="1">
      <c r="B12" s="148" t="str">
        <f>+Commodities!D11</f>
        <v>AGDTF</v>
      </c>
      <c r="C12" s="148" t="str">
        <f>+Commodities!E11</f>
        <v>Agriculture Demand Haulage Tractors, Trucks, Fishing boats, Forest machines</v>
      </c>
      <c r="D12" s="150" t="str">
        <f>+Commodities!F11</f>
        <v>PJ</v>
      </c>
      <c r="E12" s="155">
        <f t="shared" ca="1" si="2"/>
        <v>0</v>
      </c>
      <c r="F12" s="155">
        <f t="shared" ca="1" si="0"/>
        <v>0</v>
      </c>
      <c r="G12" s="155">
        <f t="shared" ca="1" si="1"/>
        <v>0</v>
      </c>
      <c r="I12" s="204" t="str">
        <f t="shared" si="3"/>
        <v>Agriculture</v>
      </c>
      <c r="J12" s="205" t="str">
        <f t="shared" si="4"/>
        <v>AQ</v>
      </c>
      <c r="K12" s="205" t="str">
        <f t="shared" si="4"/>
        <v>AR</v>
      </c>
      <c r="L12" s="205" t="str">
        <f t="shared" ref="L12" si="6">+L11</f>
        <v>AS</v>
      </c>
      <c r="M12" s="203">
        <v>61</v>
      </c>
      <c r="N12" s="202"/>
    </row>
    <row r="13" spans="2:16" ht="12.75" customHeight="1">
      <c r="B13" s="148" t="str">
        <f>+Commodities!D12</f>
        <v>AGDFL</v>
      </c>
      <c r="C13" s="148" t="str">
        <f>+Commodities!E12</f>
        <v>Agriculture Demand Haulage Forklifts</v>
      </c>
      <c r="D13" s="150" t="str">
        <f>+Commodities!F12</f>
        <v>PJ</v>
      </c>
      <c r="E13" s="155">
        <f t="shared" ca="1" si="2"/>
        <v>0</v>
      </c>
      <c r="F13" s="155">
        <f t="shared" ca="1" si="0"/>
        <v>0</v>
      </c>
      <c r="G13" s="155">
        <f t="shared" ca="1" si="1"/>
        <v>0</v>
      </c>
      <c r="I13" s="204" t="str">
        <f t="shared" si="3"/>
        <v>Agriculture</v>
      </c>
      <c r="J13" s="205" t="str">
        <f t="shared" si="4"/>
        <v>AQ</v>
      </c>
      <c r="K13" s="205" t="str">
        <f t="shared" si="4"/>
        <v>AR</v>
      </c>
      <c r="L13" s="205" t="str">
        <f t="shared" ref="L13" si="7">+L12</f>
        <v>AS</v>
      </c>
      <c r="M13" s="203">
        <v>62</v>
      </c>
      <c r="N13" s="202"/>
      <c r="P13" s="207"/>
    </row>
    <row r="16" spans="2:16" ht="26.25" customHeight="1"/>
    <row r="18" spans="2:16" ht="12.75" customHeight="1">
      <c r="B18" s="234">
        <v>2015</v>
      </c>
      <c r="C18" s="234" t="s">
        <v>86</v>
      </c>
    </row>
    <row r="19" spans="2:16" ht="12.75" customHeight="1">
      <c r="B19" s="257"/>
      <c r="C19" s="257"/>
      <c r="D19" s="257"/>
      <c r="E19" s="257"/>
      <c r="F19" s="257"/>
      <c r="G19" s="257"/>
      <c r="I19" s="194" t="s">
        <v>210</v>
      </c>
      <c r="J19" s="194"/>
      <c r="K19" s="194"/>
      <c r="L19" s="194"/>
      <c r="M19" s="194"/>
      <c r="N19" s="194"/>
    </row>
    <row r="20" spans="2:16" ht="12.75" customHeight="1">
      <c r="B20" s="152" t="s">
        <v>175</v>
      </c>
      <c r="D20" s="216" t="s">
        <v>145</v>
      </c>
      <c r="E20" s="215">
        <v>7</v>
      </c>
      <c r="F20" s="257"/>
      <c r="G20" s="257"/>
    </row>
    <row r="21" spans="2:16" ht="12.75" customHeight="1">
      <c r="B21" s="257"/>
      <c r="C21" s="257"/>
      <c r="D21" s="257"/>
      <c r="E21" s="257"/>
      <c r="F21" s="257"/>
      <c r="G21" s="257"/>
      <c r="I21" s="196" t="s">
        <v>161</v>
      </c>
      <c r="J21" s="196"/>
      <c r="K21" s="196"/>
      <c r="L21" s="196"/>
      <c r="M21" s="196"/>
      <c r="N21" s="196"/>
    </row>
    <row r="22" spans="2:16" ht="12.75" customHeight="1">
      <c r="B22" s="43" t="s">
        <v>8</v>
      </c>
      <c r="C22" s="43"/>
      <c r="D22" s="44"/>
      <c r="E22" s="257"/>
      <c r="F22" s="257"/>
      <c r="G22" s="257"/>
    </row>
    <row r="23" spans="2:16" ht="12.75" customHeight="1">
      <c r="B23" s="45" t="s">
        <v>4</v>
      </c>
      <c r="C23" s="45" t="s">
        <v>127</v>
      </c>
      <c r="D23" s="149" t="s">
        <v>27</v>
      </c>
      <c r="E23" s="149" t="s">
        <v>446</v>
      </c>
      <c r="F23" s="45" t="s">
        <v>456</v>
      </c>
      <c r="G23" s="45" t="s">
        <v>467</v>
      </c>
      <c r="I23" s="197" t="s">
        <v>207</v>
      </c>
      <c r="J23" s="198" t="s">
        <v>445</v>
      </c>
      <c r="K23" s="198" t="s">
        <v>455</v>
      </c>
      <c r="L23" s="198" t="s">
        <v>455</v>
      </c>
      <c r="M23" s="199" t="s">
        <v>208</v>
      </c>
      <c r="N23" s="199" t="s">
        <v>209</v>
      </c>
      <c r="P23" s="208" t="s">
        <v>95</v>
      </c>
    </row>
    <row r="24" spans="2:16" ht="12.75" customHeight="1">
      <c r="B24" s="148" t="str">
        <f t="shared" ref="B24:D30" si="8">B7</f>
        <v>AGDPH</v>
      </c>
      <c r="C24" s="148" t="str">
        <f t="shared" si="8"/>
        <v>Agriculture Demand Process heat</v>
      </c>
      <c r="D24" s="323" t="str">
        <f t="shared" si="8"/>
        <v>PJ</v>
      </c>
      <c r="E24" s="155">
        <f t="shared" ref="E24:E30" ca="1" si="9">+SUM(INDIRECT("'" &amp; $I24 &amp; "'!" &amp; J24 &amp; $M24 &amp; IF(ISBLANK($N24),"",":" &amp; J24 &amp; $N24)))</f>
        <v>0</v>
      </c>
      <c r="F24" s="155">
        <f t="shared" ref="F24:F30" ca="1" si="10">+SUM(INDIRECT("'" &amp; $I24 &amp; "'!" &amp; K24 &amp; $M24 &amp; IF(ISBLANK($N24),"",":" &amp; K24 &amp; $N24)))</f>
        <v>0</v>
      </c>
      <c r="G24" s="155">
        <f t="shared" ref="G24:G30" ca="1" si="11">+SUM(INDIRECT("'" &amp; $I24 &amp; "'!" &amp; L24 &amp; $M24 &amp; IF(ISBLANK($N24),"",":" &amp; L24 &amp; $N24)))</f>
        <v>0</v>
      </c>
      <c r="I24" s="337" t="str">
        <f t="shared" ref="I24:I30" si="12">I7</f>
        <v>Agriculture</v>
      </c>
      <c r="J24" s="201" t="str">
        <f>SUBSTITUTE(ADDRESS(1,COLUMN(Agriculture!BD1),4),"1","")</f>
        <v>BD</v>
      </c>
      <c r="K24" s="201" t="str">
        <f>SUBSTITUTE(ADDRESS(1,COLUMN(Agriculture!BE1),4),"1","")</f>
        <v>BE</v>
      </c>
      <c r="L24" s="201" t="str">
        <f>SUBSTITUTE(ADDRESS(1,COLUMN(Agriculture!BF1),4),"1","")</f>
        <v>BF</v>
      </c>
      <c r="M24" s="202">
        <f t="shared" ref="M24:N26" si="13">M7</f>
        <v>26</v>
      </c>
      <c r="N24" s="325">
        <f t="shared" si="13"/>
        <v>37</v>
      </c>
      <c r="P24" s="207">
        <f ca="1">+SUM(INDIRECT("'" &amp; I24 &amp; "'!" &amp; "BD26:BE62")) - SUM(E24:F30)</f>
        <v>0</v>
      </c>
    </row>
    <row r="25" spans="2:16" ht="12.75" customHeight="1">
      <c r="B25" s="148" t="str">
        <f t="shared" si="8"/>
        <v>AGDCO</v>
      </c>
      <c r="C25" s="148" t="str">
        <f t="shared" si="8"/>
        <v>Agriculture Demand Cooling</v>
      </c>
      <c r="D25" s="150" t="str">
        <f t="shared" si="8"/>
        <v>PJ</v>
      </c>
      <c r="E25" s="155">
        <f t="shared" ca="1" si="9"/>
        <v>0</v>
      </c>
      <c r="F25" s="155">
        <f t="shared" ca="1" si="10"/>
        <v>0</v>
      </c>
      <c r="G25" s="155">
        <f t="shared" ca="1" si="11"/>
        <v>0</v>
      </c>
      <c r="I25" s="337" t="str">
        <f t="shared" si="12"/>
        <v>Agriculture</v>
      </c>
      <c r="J25" s="205" t="str">
        <f>+J24</f>
        <v>BD</v>
      </c>
      <c r="K25" s="205" t="str">
        <f>+K24</f>
        <v>BE</v>
      </c>
      <c r="L25" s="205" t="str">
        <f>+L24</f>
        <v>BF</v>
      </c>
      <c r="M25" s="325">
        <f t="shared" si="13"/>
        <v>38</v>
      </c>
      <c r="N25" s="325">
        <f t="shared" si="13"/>
        <v>46</v>
      </c>
      <c r="P25" s="206"/>
    </row>
    <row r="26" spans="2:16" ht="12.75" customHeight="1">
      <c r="B26" s="148" t="str">
        <f t="shared" si="8"/>
        <v>AGDSH</v>
      </c>
      <c r="C26" s="148" t="str">
        <f t="shared" si="8"/>
        <v>Agriculture Demand Spatial Heat</v>
      </c>
      <c r="D26" s="150" t="str">
        <f t="shared" si="8"/>
        <v>PJ</v>
      </c>
      <c r="E26" s="155">
        <f t="shared" ca="1" si="9"/>
        <v>0</v>
      </c>
      <c r="F26" s="155">
        <f t="shared" ca="1" si="10"/>
        <v>0</v>
      </c>
      <c r="G26" s="155">
        <f t="shared" ca="1" si="11"/>
        <v>0</v>
      </c>
      <c r="I26" s="337" t="str">
        <f t="shared" si="12"/>
        <v>Agriculture</v>
      </c>
      <c r="J26" s="205" t="str">
        <f t="shared" ref="J26:K26" si="14">+J25</f>
        <v>BD</v>
      </c>
      <c r="K26" s="205" t="str">
        <f t="shared" si="14"/>
        <v>BE</v>
      </c>
      <c r="L26" s="205" t="str">
        <f t="shared" ref="L26" si="15">+L25</f>
        <v>BF</v>
      </c>
      <c r="M26" s="325">
        <f t="shared" si="13"/>
        <v>47</v>
      </c>
      <c r="N26" s="325">
        <f t="shared" si="13"/>
        <v>58</v>
      </c>
    </row>
    <row r="27" spans="2:16" ht="12.75" customHeight="1">
      <c r="B27" s="148" t="str">
        <f t="shared" si="8"/>
        <v>AGDLA</v>
      </c>
      <c r="C27" s="148" t="str">
        <f t="shared" si="8"/>
        <v>Agriculture Demand Light</v>
      </c>
      <c r="D27" s="150" t="str">
        <f t="shared" si="8"/>
        <v>PJ</v>
      </c>
      <c r="E27" s="155">
        <f t="shared" ca="1" si="9"/>
        <v>0</v>
      </c>
      <c r="F27" s="155">
        <f t="shared" ca="1" si="10"/>
        <v>0</v>
      </c>
      <c r="G27" s="155">
        <f t="shared" ca="1" si="11"/>
        <v>0</v>
      </c>
      <c r="I27" s="337" t="str">
        <f t="shared" si="12"/>
        <v>Agriculture</v>
      </c>
      <c r="J27" s="205" t="str">
        <f t="shared" ref="J27:K27" si="16">+J26</f>
        <v>BD</v>
      </c>
      <c r="K27" s="205" t="str">
        <f t="shared" si="16"/>
        <v>BE</v>
      </c>
      <c r="L27" s="205" t="str">
        <f t="shared" ref="L27" si="17">+L26</f>
        <v>BF</v>
      </c>
      <c r="M27" s="325">
        <f>M10</f>
        <v>59</v>
      </c>
      <c r="N27" s="202"/>
    </row>
    <row r="28" spans="2:16" ht="12.75" customHeight="1">
      <c r="B28" s="148" t="str">
        <f t="shared" si="8"/>
        <v>AGDEM</v>
      </c>
      <c r="C28" s="148" t="str">
        <f t="shared" si="8"/>
        <v>Agriculture Demand Electric Motors</v>
      </c>
      <c r="D28" s="150" t="str">
        <f t="shared" si="8"/>
        <v>PJ</v>
      </c>
      <c r="E28" s="155">
        <f t="shared" ca="1" si="9"/>
        <v>0</v>
      </c>
      <c r="F28" s="155">
        <f t="shared" ca="1" si="10"/>
        <v>0</v>
      </c>
      <c r="G28" s="155">
        <f t="shared" ca="1" si="11"/>
        <v>0</v>
      </c>
      <c r="I28" s="337" t="str">
        <f t="shared" si="12"/>
        <v>Agriculture</v>
      </c>
      <c r="J28" s="205" t="str">
        <f t="shared" ref="J28:K28" si="18">+J27</f>
        <v>BD</v>
      </c>
      <c r="K28" s="205" t="str">
        <f t="shared" si="18"/>
        <v>BE</v>
      </c>
      <c r="L28" s="205" t="str">
        <f t="shared" ref="L28" si="19">+L27</f>
        <v>BF</v>
      </c>
      <c r="M28" s="325">
        <f>M11</f>
        <v>60</v>
      </c>
      <c r="N28" s="202"/>
    </row>
    <row r="29" spans="2:16" ht="12.75" customHeight="1">
      <c r="B29" s="148" t="str">
        <f t="shared" si="8"/>
        <v>AGDTF</v>
      </c>
      <c r="C29" s="148" t="str">
        <f t="shared" si="8"/>
        <v>Agriculture Demand Haulage Tractors, Trucks, Fishing boats, Forest machines</v>
      </c>
      <c r="D29" s="150" t="str">
        <f t="shared" si="8"/>
        <v>PJ</v>
      </c>
      <c r="E29" s="155">
        <f t="shared" ca="1" si="9"/>
        <v>0</v>
      </c>
      <c r="F29" s="155">
        <f t="shared" ca="1" si="10"/>
        <v>0</v>
      </c>
      <c r="G29" s="155">
        <f ca="1">+SUM(INDIRECT("'" &amp; $I29 &amp; "'!" &amp; L29 &amp; $M29 &amp; IF(ISBLANK($N29),"",":" &amp; L29 &amp; $N29)))</f>
        <v>0</v>
      </c>
      <c r="I29" s="337" t="str">
        <f t="shared" si="12"/>
        <v>Agriculture</v>
      </c>
      <c r="J29" s="205" t="str">
        <f t="shared" ref="J29:K29" si="20">+J28</f>
        <v>BD</v>
      </c>
      <c r="K29" s="205" t="str">
        <f t="shared" si="20"/>
        <v>BE</v>
      </c>
      <c r="L29" s="205" t="str">
        <f t="shared" ref="L29" si="21">+L28</f>
        <v>BF</v>
      </c>
      <c r="M29" s="325">
        <f>M12</f>
        <v>61</v>
      </c>
      <c r="N29" s="202"/>
    </row>
    <row r="30" spans="2:16" ht="12.75" customHeight="1">
      <c r="B30" s="235" t="str">
        <f t="shared" si="8"/>
        <v>AGDFL</v>
      </c>
      <c r="C30" s="235" t="str">
        <f t="shared" si="8"/>
        <v>Agriculture Demand Haulage Forklifts</v>
      </c>
      <c r="D30" s="236" t="str">
        <f t="shared" si="8"/>
        <v>PJ</v>
      </c>
      <c r="E30" s="237">
        <f t="shared" ca="1" si="9"/>
        <v>0</v>
      </c>
      <c r="F30" s="237">
        <f t="shared" ca="1" si="10"/>
        <v>0</v>
      </c>
      <c r="G30" s="237">
        <f t="shared" ca="1" si="11"/>
        <v>0</v>
      </c>
      <c r="I30" s="337" t="str">
        <f t="shared" si="12"/>
        <v>Agriculture</v>
      </c>
      <c r="J30" s="205" t="str">
        <f t="shared" ref="J30:K30" si="22">+J29</f>
        <v>BD</v>
      </c>
      <c r="K30" s="205" t="str">
        <f t="shared" si="22"/>
        <v>BE</v>
      </c>
      <c r="L30" s="205" t="str">
        <f t="shared" ref="L30" si="23">+L29</f>
        <v>BF</v>
      </c>
      <c r="M30" s="325">
        <f>M13</f>
        <v>62</v>
      </c>
      <c r="N30" s="202"/>
      <c r="P30" s="207"/>
    </row>
    <row r="35" spans="2:16" ht="12.75" customHeight="1">
      <c r="B35" s="234">
        <f>Agriculture!V126</f>
        <v>2019</v>
      </c>
      <c r="C35" s="234" t="s">
        <v>86</v>
      </c>
    </row>
    <row r="36" spans="2:16" ht="12.75" customHeight="1">
      <c r="B36" s="24"/>
      <c r="C36" s="24"/>
      <c r="D36" s="24"/>
      <c r="E36" s="24"/>
      <c r="F36" s="24"/>
      <c r="G36" s="257"/>
      <c r="I36" s="194" t="s">
        <v>210</v>
      </c>
      <c r="J36" s="194"/>
      <c r="K36" s="194"/>
      <c r="L36" s="194"/>
      <c r="M36" s="194"/>
      <c r="N36" s="194"/>
    </row>
    <row r="37" spans="2:16" ht="12.75" customHeight="1">
      <c r="B37" s="152" t="s">
        <v>175</v>
      </c>
      <c r="D37" s="216" t="s">
        <v>145</v>
      </c>
      <c r="E37" s="215">
        <v>7</v>
      </c>
      <c r="F37" s="24"/>
      <c r="G37" s="257"/>
    </row>
    <row r="38" spans="2:16" ht="12.75" customHeight="1">
      <c r="B38" s="24"/>
      <c r="C38" s="24"/>
      <c r="D38" s="24"/>
      <c r="E38" s="24"/>
      <c r="F38" s="24"/>
      <c r="G38" s="257"/>
      <c r="I38" s="196" t="s">
        <v>161</v>
      </c>
      <c r="J38" s="196"/>
      <c r="K38" s="196"/>
      <c r="L38" s="196"/>
      <c r="M38" s="196"/>
      <c r="N38" s="196"/>
    </row>
    <row r="39" spans="2:16" ht="12.75" customHeight="1">
      <c r="B39" s="43" t="s">
        <v>8</v>
      </c>
      <c r="C39" s="43"/>
      <c r="D39" s="44"/>
      <c r="E39" s="24"/>
      <c r="F39" s="24"/>
      <c r="G39" s="257"/>
    </row>
    <row r="40" spans="2:16" ht="12.75" customHeight="1">
      <c r="B40" s="45" t="s">
        <v>4</v>
      </c>
      <c r="C40" s="45" t="s">
        <v>127</v>
      </c>
      <c r="D40" s="149" t="s">
        <v>27</v>
      </c>
      <c r="E40" s="149" t="s">
        <v>447</v>
      </c>
      <c r="F40" s="45" t="s">
        <v>457</v>
      </c>
      <c r="G40" s="45" t="s">
        <v>468</v>
      </c>
      <c r="I40" s="197" t="s">
        <v>207</v>
      </c>
      <c r="J40" s="198" t="s">
        <v>445</v>
      </c>
      <c r="K40" s="198" t="s">
        <v>455</v>
      </c>
      <c r="L40" s="198" t="s">
        <v>455</v>
      </c>
      <c r="M40" s="199" t="s">
        <v>208</v>
      </c>
      <c r="N40" s="199" t="s">
        <v>209</v>
      </c>
      <c r="P40" s="208" t="s">
        <v>95</v>
      </c>
    </row>
    <row r="41" spans="2:16" ht="12.75" customHeight="1">
      <c r="B41" s="148" t="str">
        <f t="shared" ref="B41:D47" si="24">B7</f>
        <v>AGDPH</v>
      </c>
      <c r="C41" s="148" t="str">
        <f t="shared" si="24"/>
        <v>Agriculture Demand Process heat</v>
      </c>
      <c r="D41" s="150" t="str">
        <f t="shared" si="24"/>
        <v>PJ</v>
      </c>
      <c r="E41" s="155">
        <f t="shared" ref="E41:E47" ca="1" si="25">+SUM(INDIRECT("'" &amp; $I41 &amp; "'!" &amp; J41 &amp; $M41 &amp; IF(ISBLANK($N41),"",":" &amp; J41 &amp; $N41)))</f>
        <v>36.493788163000005</v>
      </c>
      <c r="F41" s="155">
        <f t="shared" ref="F41:F47" ca="1" si="26">+SUM(INDIRECT("'" &amp; $I41 &amp; "'!" &amp; K41 &amp; $M41 &amp; IF(ISBLANK($N41),"",":" &amp; K41 &amp; $N41)))</f>
        <v>0</v>
      </c>
      <c r="G41" s="155">
        <f t="shared" ref="G41:G47" ca="1" si="27">+SUM(INDIRECT("'" &amp; $I41 &amp; "'!" &amp; L41 &amp; $M41 &amp; IF(ISBLANK($N41),"",":" &amp; L41 &amp; $N41)))</f>
        <v>0</v>
      </c>
      <c r="I41" s="337" t="str">
        <f t="shared" ref="I41:I47" si="28">I24</f>
        <v>Agriculture</v>
      </c>
      <c r="J41" s="201" t="str">
        <f>SUBSTITUTE(ADDRESS(1,COLUMN(Agriculture!BQ1),4),"1","")</f>
        <v>BQ</v>
      </c>
      <c r="K41" s="201" t="str">
        <f>SUBSTITUTE(ADDRESS(1,COLUMN(Agriculture!BR1),4),"1","")</f>
        <v>BR</v>
      </c>
      <c r="L41" s="201" t="str">
        <f>SUBSTITUTE(ADDRESS(1,COLUMN(Agriculture!BS1),4),"1","")</f>
        <v>BS</v>
      </c>
      <c r="M41" s="202">
        <f t="shared" ref="M41:N43" si="29">M24</f>
        <v>26</v>
      </c>
      <c r="N41" s="325">
        <f t="shared" si="29"/>
        <v>37</v>
      </c>
      <c r="P41" s="207">
        <f ca="1">+SUM(INDIRECT("'" &amp; I41 &amp; "'!" &amp; "BQ26:BR62")) - SUM(E41:F47)</f>
        <v>0</v>
      </c>
    </row>
    <row r="42" spans="2:16" ht="12.75" customHeight="1">
      <c r="B42" s="148" t="str">
        <f t="shared" si="24"/>
        <v>AGDCO</v>
      </c>
      <c r="C42" s="148" t="str">
        <f t="shared" si="24"/>
        <v>Agriculture Demand Cooling</v>
      </c>
      <c r="D42" s="150" t="str">
        <f t="shared" si="24"/>
        <v>PJ</v>
      </c>
      <c r="E42" s="155">
        <f t="shared" ca="1" si="25"/>
        <v>0</v>
      </c>
      <c r="F42" s="155">
        <f t="shared" ca="1" si="26"/>
        <v>0</v>
      </c>
      <c r="G42" s="155">
        <f t="shared" ca="1" si="27"/>
        <v>0</v>
      </c>
      <c r="I42" s="337" t="str">
        <f t="shared" si="28"/>
        <v>Agriculture</v>
      </c>
      <c r="J42" s="205" t="str">
        <f>+J41</f>
        <v>BQ</v>
      </c>
      <c r="K42" s="205" t="str">
        <f>+K41</f>
        <v>BR</v>
      </c>
      <c r="L42" s="205" t="str">
        <f>+L41</f>
        <v>BS</v>
      </c>
      <c r="M42" s="325">
        <f t="shared" si="29"/>
        <v>38</v>
      </c>
      <c r="N42" s="325">
        <f t="shared" si="29"/>
        <v>46</v>
      </c>
      <c r="P42" s="206"/>
    </row>
    <row r="43" spans="2:16" ht="12.75" customHeight="1">
      <c r="B43" s="148" t="str">
        <f t="shared" si="24"/>
        <v>AGDSH</v>
      </c>
      <c r="C43" s="148" t="str">
        <f t="shared" si="24"/>
        <v>Agriculture Demand Spatial Heat</v>
      </c>
      <c r="D43" s="150" t="str">
        <f t="shared" si="24"/>
        <v>PJ</v>
      </c>
      <c r="E43" s="155">
        <f t="shared" ca="1" si="25"/>
        <v>0</v>
      </c>
      <c r="F43" s="155">
        <f t="shared" ca="1" si="26"/>
        <v>0</v>
      </c>
      <c r="G43" s="155">
        <f t="shared" ca="1" si="27"/>
        <v>0</v>
      </c>
      <c r="I43" s="337" t="str">
        <f t="shared" si="28"/>
        <v>Agriculture</v>
      </c>
      <c r="J43" s="205" t="str">
        <f t="shared" ref="J43:K47" si="30">+J42</f>
        <v>BQ</v>
      </c>
      <c r="K43" s="205" t="str">
        <f t="shared" si="30"/>
        <v>BR</v>
      </c>
      <c r="L43" s="205" t="str">
        <f t="shared" ref="L43" si="31">+L42</f>
        <v>BS</v>
      </c>
      <c r="M43" s="325">
        <f t="shared" si="29"/>
        <v>47</v>
      </c>
      <c r="N43" s="325">
        <f t="shared" si="29"/>
        <v>58</v>
      </c>
    </row>
    <row r="44" spans="2:16" ht="12.75" customHeight="1">
      <c r="B44" s="148" t="str">
        <f t="shared" si="24"/>
        <v>AGDLA</v>
      </c>
      <c r="C44" s="148" t="str">
        <f t="shared" si="24"/>
        <v>Agriculture Demand Light</v>
      </c>
      <c r="D44" s="150" t="str">
        <f t="shared" si="24"/>
        <v>PJ</v>
      </c>
      <c r="E44" s="155">
        <f t="shared" ca="1" si="25"/>
        <v>0</v>
      </c>
      <c r="F44" s="155">
        <f t="shared" ca="1" si="26"/>
        <v>0</v>
      </c>
      <c r="G44" s="155">
        <f t="shared" ca="1" si="27"/>
        <v>0</v>
      </c>
      <c r="I44" s="337" t="str">
        <f t="shared" si="28"/>
        <v>Agriculture</v>
      </c>
      <c r="J44" s="205" t="str">
        <f t="shared" si="30"/>
        <v>BQ</v>
      </c>
      <c r="K44" s="205" t="str">
        <f t="shared" si="30"/>
        <v>BR</v>
      </c>
      <c r="L44" s="205" t="str">
        <f t="shared" ref="L44" si="32">+L43</f>
        <v>BS</v>
      </c>
      <c r="M44" s="325">
        <f>M27</f>
        <v>59</v>
      </c>
      <c r="N44" s="202"/>
    </row>
    <row r="45" spans="2:16" ht="12.75" customHeight="1">
      <c r="B45" s="148" t="str">
        <f t="shared" si="24"/>
        <v>AGDEM</v>
      </c>
      <c r="C45" s="148" t="str">
        <f t="shared" si="24"/>
        <v>Agriculture Demand Electric Motors</v>
      </c>
      <c r="D45" s="150" t="str">
        <f t="shared" si="24"/>
        <v>PJ</v>
      </c>
      <c r="E45" s="155">
        <f t="shared" ca="1" si="25"/>
        <v>0</v>
      </c>
      <c r="F45" s="155">
        <f t="shared" ca="1" si="26"/>
        <v>0</v>
      </c>
      <c r="G45" s="155">
        <f t="shared" ca="1" si="27"/>
        <v>0</v>
      </c>
      <c r="I45" s="337" t="str">
        <f t="shared" si="28"/>
        <v>Agriculture</v>
      </c>
      <c r="J45" s="205" t="str">
        <f t="shared" si="30"/>
        <v>BQ</v>
      </c>
      <c r="K45" s="205" t="str">
        <f t="shared" si="30"/>
        <v>BR</v>
      </c>
      <c r="L45" s="205" t="str">
        <f t="shared" ref="L45" si="33">+L44</f>
        <v>BS</v>
      </c>
      <c r="M45" s="325">
        <f>M28</f>
        <v>60</v>
      </c>
      <c r="N45" s="202"/>
    </row>
    <row r="46" spans="2:16" ht="12.75" customHeight="1">
      <c r="B46" s="148" t="str">
        <f t="shared" si="24"/>
        <v>AGDTF</v>
      </c>
      <c r="C46" s="148" t="str">
        <f t="shared" si="24"/>
        <v>Agriculture Demand Haulage Tractors, Trucks, Fishing boats, Forest machines</v>
      </c>
      <c r="D46" s="150" t="str">
        <f t="shared" si="24"/>
        <v>PJ</v>
      </c>
      <c r="E46" s="155">
        <f t="shared" ca="1" si="25"/>
        <v>79.593408999999994</v>
      </c>
      <c r="F46" s="155">
        <f t="shared" ca="1" si="26"/>
        <v>0</v>
      </c>
      <c r="G46" s="155">
        <f t="shared" ca="1" si="27"/>
        <v>0</v>
      </c>
      <c r="I46" s="337" t="str">
        <f t="shared" si="28"/>
        <v>Agriculture</v>
      </c>
      <c r="J46" s="205" t="str">
        <f t="shared" si="30"/>
        <v>BQ</v>
      </c>
      <c r="K46" s="205" t="str">
        <f t="shared" si="30"/>
        <v>BR</v>
      </c>
      <c r="L46" s="205" t="str">
        <f t="shared" ref="L46" si="34">+L45</f>
        <v>BS</v>
      </c>
      <c r="M46" s="325">
        <f>M29</f>
        <v>61</v>
      </c>
      <c r="N46" s="202"/>
    </row>
    <row r="47" spans="2:16" ht="12.75" customHeight="1">
      <c r="B47" s="235" t="str">
        <f t="shared" si="24"/>
        <v>AGDFL</v>
      </c>
      <c r="C47" s="235" t="str">
        <f t="shared" si="24"/>
        <v>Agriculture Demand Haulage Forklifts</v>
      </c>
      <c r="D47" s="236" t="str">
        <f t="shared" si="24"/>
        <v>PJ</v>
      </c>
      <c r="E47" s="237">
        <f t="shared" ca="1" si="25"/>
        <v>6.6226275000000001</v>
      </c>
      <c r="F47" s="237">
        <f t="shared" ca="1" si="26"/>
        <v>0</v>
      </c>
      <c r="G47" s="237">
        <f t="shared" ca="1" si="27"/>
        <v>0</v>
      </c>
      <c r="I47" s="337" t="str">
        <f t="shared" si="28"/>
        <v>Agriculture</v>
      </c>
      <c r="J47" s="205" t="str">
        <f t="shared" si="30"/>
        <v>BQ</v>
      </c>
      <c r="K47" s="205" t="str">
        <f t="shared" si="30"/>
        <v>BR</v>
      </c>
      <c r="L47" s="205" t="str">
        <f t="shared" ref="L47" si="35">+L46</f>
        <v>BS</v>
      </c>
      <c r="M47" s="325">
        <f>M30</f>
        <v>62</v>
      </c>
      <c r="N47" s="202"/>
      <c r="P47" s="207"/>
    </row>
    <row r="1048324" spans="16:16" ht="12.75" customHeight="1">
      <c r="P1048324" s="207"/>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89"/>
  <sheetViews>
    <sheetView showGridLines="0" tabSelected="1" topLeftCell="U13" zoomScale="110" zoomScaleNormal="110" workbookViewId="0">
      <selection activeCell="AF26" sqref="A26:XFD26"/>
    </sheetView>
  </sheetViews>
  <sheetFormatPr baseColWidth="10" defaultColWidth="9.1640625" defaultRowHeight="14"/>
  <cols>
    <col min="1" max="1" width="3.5" style="24" customWidth="1"/>
    <col min="2" max="2" width="24.5" style="24" customWidth="1"/>
    <col min="3" max="3" width="19.1640625" style="24" customWidth="1"/>
    <col min="4" max="4" width="57.5" style="24" customWidth="1"/>
    <col min="5" max="5" width="25.5" style="57" customWidth="1"/>
    <col min="6" max="6" width="11.83203125" style="57" bestFit="1" customWidth="1"/>
    <col min="7" max="7" width="10.83203125" style="30" customWidth="1"/>
    <col min="8" max="8" width="11" style="30" customWidth="1"/>
    <col min="9" max="9" width="10.83203125" style="30" customWidth="1"/>
    <col min="10" max="10" width="11.33203125" style="30" customWidth="1"/>
    <col min="11" max="11" width="10.83203125" style="30" customWidth="1"/>
    <col min="12" max="12" width="11" style="24" customWidth="1"/>
    <col min="13" max="13" width="10.83203125" style="24" customWidth="1"/>
    <col min="14" max="14" width="11.5" style="24" customWidth="1"/>
    <col min="15" max="15" width="8.83203125" style="24" customWidth="1"/>
    <col min="16" max="16" width="9" style="24" customWidth="1"/>
    <col min="17" max="17" width="9.83203125" style="24" customWidth="1"/>
    <col min="18" max="18" width="9.33203125" style="28" customWidth="1"/>
    <col min="19" max="19" width="9.1640625" style="28" customWidth="1"/>
    <col min="20" max="21" width="9.5" style="24" customWidth="1"/>
    <col min="22" max="22" width="10" style="24" customWidth="1"/>
    <col min="23" max="23" width="8.6640625" style="24" customWidth="1"/>
    <col min="24" max="24" width="8.1640625" style="24" customWidth="1"/>
    <col min="25" max="25" width="7.1640625" style="257" bestFit="1" customWidth="1"/>
    <col min="26" max="27" width="6.6640625" style="257" bestFit="1" customWidth="1"/>
    <col min="28" max="30" width="9.1640625" style="24"/>
    <col min="31" max="31" width="13.5" style="24" bestFit="1" customWidth="1"/>
    <col min="32" max="33" width="10.5" style="24" customWidth="1"/>
    <col min="34" max="40" width="9.1640625" style="24"/>
    <col min="41" max="41" width="10.33203125" style="24" customWidth="1"/>
    <col min="42" max="42" width="10.6640625" style="24" bestFit="1" customWidth="1"/>
    <col min="43" max="43" width="9.1640625" style="24"/>
    <col min="44" max="44" width="8.5" style="24" customWidth="1"/>
    <col min="45" max="50" width="9.1640625" style="24"/>
    <col min="51" max="51" width="12.6640625" style="24" bestFit="1" customWidth="1"/>
    <col min="52" max="16384" width="9.1640625" style="24"/>
  </cols>
  <sheetData>
    <row r="1" spans="3:28" ht="12.75" customHeight="1"/>
    <row r="2" spans="3:28" ht="12.75" customHeight="1">
      <c r="C2" s="56" t="s">
        <v>169</v>
      </c>
      <c r="D2" s="118">
        <v>1</v>
      </c>
      <c r="E2" s="64" t="s">
        <v>172</v>
      </c>
      <c r="F2" s="64"/>
      <c r="G2" s="64"/>
      <c r="H2" s="64"/>
    </row>
    <row r="3" spans="3:28" ht="12.75" customHeight="1">
      <c r="E3" s="24"/>
    </row>
    <row r="4" spans="3:28" ht="12.75" customHeight="1" thickBot="1">
      <c r="C4" s="56" t="s">
        <v>171</v>
      </c>
      <c r="D4" s="58" t="s">
        <v>133</v>
      </c>
      <c r="E4" s="24"/>
    </row>
    <row r="5" spans="3:28" ht="12.75" customHeight="1">
      <c r="C5" s="56" t="s">
        <v>174</v>
      </c>
      <c r="D5" s="64" t="str">
        <f>+INDEX(Commodities!$X$6:$X$6,D2)</f>
        <v>Agriculture</v>
      </c>
      <c r="E5" s="24"/>
      <c r="F5" s="181"/>
      <c r="G5" s="182"/>
    </row>
    <row r="6" spans="3:28" ht="12.75" customHeight="1">
      <c r="C6" s="56"/>
      <c r="D6" s="64" t="str">
        <f>+INDEX(Commodities!$Y$6:$Y$6,D2)</f>
        <v xml:space="preserve">Agriculture, forestry and fishing </v>
      </c>
      <c r="E6" s="24"/>
      <c r="F6" s="186" t="str">
        <f ca="1">+"Give 'Index' in cell " &amp; SUBSTITUTE(CELL("address",D2),"$","") &amp; "."</f>
        <v>Give 'Index' in cell D2.</v>
      </c>
      <c r="G6" s="185"/>
    </row>
    <row r="7" spans="3:28" ht="12.75" customHeight="1">
      <c r="E7" s="24"/>
      <c r="F7" s="186" t="s">
        <v>188</v>
      </c>
      <c r="G7" s="185"/>
    </row>
    <row r="8" spans="3:28" ht="12.75" customHeight="1" thickBot="1">
      <c r="C8" s="56" t="s">
        <v>171</v>
      </c>
      <c r="D8" s="58" t="s">
        <v>134</v>
      </c>
      <c r="E8" s="24"/>
      <c r="F8" s="183"/>
      <c r="G8" s="184"/>
    </row>
    <row r="9" spans="3:28" ht="12.75" customHeight="1">
      <c r="C9" s="56" t="s">
        <v>174</v>
      </c>
      <c r="D9" s="64" t="str">
        <f ca="1">+OFFSET(Processes!$M$11,D11,0)</f>
        <v xml:space="preserve">Agriculture, forestry and fishing </v>
      </c>
      <c r="E9" s="24"/>
    </row>
    <row r="10" spans="3:28" ht="12.75" customHeight="1">
      <c r="C10" s="56" t="s">
        <v>145</v>
      </c>
      <c r="D10" s="64">
        <f>+ROW(Processes!$M$44) - ROW(Processes!$M$7)</f>
        <v>37</v>
      </c>
      <c r="E10" s="24"/>
    </row>
    <row r="11" spans="3:28" ht="12.75" customHeight="1">
      <c r="C11" s="56" t="s">
        <v>167</v>
      </c>
      <c r="D11" s="64">
        <f>+$D$10*$D$2-$D$10</f>
        <v>0</v>
      </c>
    </row>
    <row r="12" spans="3:28" ht="12.75" customHeight="1">
      <c r="E12" s="24"/>
    </row>
    <row r="13" spans="3:28" ht="12.75" customHeight="1">
      <c r="C13" s="56" t="s">
        <v>171</v>
      </c>
      <c r="D13" s="58" t="s">
        <v>168</v>
      </c>
      <c r="E13" s="24"/>
      <c r="G13" s="101"/>
      <c r="H13" s="101"/>
      <c r="I13" s="101"/>
      <c r="J13" s="101"/>
      <c r="K13" s="101"/>
      <c r="L13" s="101"/>
      <c r="M13" s="101"/>
      <c r="N13" s="101"/>
    </row>
    <row r="14" spans="3:28" ht="12.75" customHeight="1">
      <c r="C14" s="56" t="s">
        <v>174</v>
      </c>
      <c r="D14" s="64" t="str">
        <f>+INDEX('Energy matrix'!$C$4:$N$4,1,D2)</f>
        <v xml:space="preserve">Agriculture, forestry and fishing </v>
      </c>
      <c r="E14" s="24"/>
    </row>
    <row r="15" spans="3:28" ht="12.75" customHeight="1">
      <c r="D15" s="258"/>
      <c r="E15" s="24"/>
      <c r="L15" s="30"/>
      <c r="M15" s="30"/>
      <c r="R15" s="24"/>
      <c r="S15" s="24"/>
      <c r="T15" s="28"/>
      <c r="U15" s="28"/>
    </row>
    <row r="16" spans="3:28" ht="12.75" customHeight="1">
      <c r="C16" s="258"/>
      <c r="D16" s="461"/>
      <c r="E16" s="258"/>
      <c r="L16" s="30"/>
      <c r="M16" s="30"/>
      <c r="R16" s="257"/>
      <c r="S16" s="24"/>
      <c r="U16" s="28"/>
      <c r="V16" s="28"/>
      <c r="Y16" s="24"/>
      <c r="AB16" s="257"/>
    </row>
    <row r="17" spans="3:78" ht="12.75" customHeight="1">
      <c r="C17" s="258"/>
      <c r="D17" s="375"/>
      <c r="E17" s="258"/>
      <c r="L17" s="259"/>
      <c r="M17" s="30"/>
      <c r="N17" s="30"/>
      <c r="O17" s="259"/>
      <c r="R17" s="257"/>
      <c r="S17" s="24"/>
      <c r="U17" s="257"/>
      <c r="X17" s="28"/>
      <c r="Y17" s="258"/>
      <c r="Z17" s="28"/>
      <c r="AA17" s="24"/>
      <c r="AD17" s="257"/>
      <c r="AE17" s="257"/>
      <c r="AF17" s="257"/>
    </row>
    <row r="18" spans="3:78" ht="12.75" customHeight="1">
      <c r="C18" s="258"/>
      <c r="D18" s="461"/>
      <c r="E18" s="258"/>
      <c r="I18" s="259"/>
      <c r="L18" s="259"/>
      <c r="M18" s="30"/>
      <c r="N18" s="30"/>
      <c r="O18" s="259"/>
      <c r="P18" s="30"/>
      <c r="R18" s="257"/>
      <c r="S18" s="24"/>
      <c r="U18" s="257"/>
      <c r="Z18" s="28"/>
      <c r="AA18" s="28"/>
      <c r="AB18" s="27"/>
      <c r="AE18" s="257"/>
      <c r="AF18" s="257"/>
      <c r="AG18" s="257"/>
      <c r="BK18" s="484"/>
      <c r="BL18" s="261"/>
      <c r="BM18" s="263"/>
      <c r="BN18" s="263"/>
      <c r="BO18" s="263"/>
      <c r="BP18" s="263"/>
      <c r="BQ18" s="261"/>
      <c r="BR18" s="261"/>
      <c r="BS18" s="261"/>
      <c r="BT18" s="261"/>
      <c r="BU18" s="261"/>
      <c r="BV18" s="261"/>
    </row>
    <row r="19" spans="3:78" ht="12.75" customHeight="1">
      <c r="C19" s="258"/>
      <c r="D19" s="258"/>
      <c r="E19" s="258"/>
      <c r="G19" s="455" t="s">
        <v>62</v>
      </c>
      <c r="H19" s="455"/>
      <c r="I19" s="457"/>
      <c r="J19" s="455"/>
      <c r="K19" s="455"/>
      <c r="L19" s="457"/>
      <c r="M19" s="455"/>
      <c r="N19" s="455"/>
      <c r="O19" s="455"/>
      <c r="P19" s="30"/>
      <c r="R19" s="257"/>
      <c r="S19" s="350"/>
      <c r="U19" s="257"/>
      <c r="Z19" s="24"/>
      <c r="AA19" s="24"/>
      <c r="AB19" s="211"/>
      <c r="AE19" s="257"/>
      <c r="AF19" s="257"/>
      <c r="AG19" s="257"/>
      <c r="AI19" s="257"/>
      <c r="AJ19" s="257"/>
      <c r="AK19" s="610">
        <v>2010</v>
      </c>
      <c r="AL19" s="312"/>
      <c r="AM19" s="303"/>
      <c r="AN19" s="303"/>
      <c r="AO19" s="303"/>
      <c r="AP19" s="303"/>
      <c r="AQ19" s="312"/>
      <c r="AR19" s="312"/>
      <c r="AS19" s="312"/>
      <c r="AT19" s="312"/>
      <c r="AU19" s="312"/>
      <c r="AV19" s="313"/>
      <c r="AW19" s="257"/>
      <c r="AX19" s="610">
        <v>2015</v>
      </c>
      <c r="AY19" s="312"/>
      <c r="AZ19" s="303"/>
      <c r="BA19" s="303"/>
      <c r="BB19" s="303"/>
      <c r="BC19" s="303"/>
      <c r="BD19" s="312"/>
      <c r="BE19" s="312"/>
      <c r="BF19" s="312"/>
      <c r="BG19" s="312"/>
      <c r="BH19" s="312"/>
      <c r="BI19" s="313"/>
      <c r="BJ19" s="257"/>
      <c r="BK19" s="610">
        <v>2019</v>
      </c>
      <c r="BL19" s="312"/>
      <c r="BM19" s="303"/>
      <c r="BN19" s="303"/>
      <c r="BO19" s="303"/>
      <c r="BP19" s="303"/>
      <c r="BQ19" s="312"/>
      <c r="BR19" s="312"/>
      <c r="BS19" s="312"/>
      <c r="BT19" s="312"/>
      <c r="BU19" s="312"/>
      <c r="BV19" s="313"/>
    </row>
    <row r="20" spans="3:78" ht="12.75" customHeight="1">
      <c r="E20" s="24"/>
      <c r="G20" s="456">
        <v>2010</v>
      </c>
      <c r="H20" s="456"/>
      <c r="I20" s="458"/>
      <c r="J20" s="456">
        <v>2015</v>
      </c>
      <c r="K20" s="456"/>
      <c r="L20" s="458"/>
      <c r="M20" s="456">
        <v>2019</v>
      </c>
      <c r="N20" s="456"/>
      <c r="O20" s="456"/>
      <c r="P20" s="61"/>
      <c r="Q20" s="62"/>
      <c r="R20" s="266"/>
      <c r="S20" s="61"/>
      <c r="T20" s="60"/>
      <c r="U20" s="265"/>
      <c r="X20" s="63"/>
      <c r="Y20" s="267"/>
      <c r="Z20" s="63"/>
      <c r="AA20" s="63"/>
      <c r="AB20" s="214"/>
      <c r="AC20" s="28"/>
      <c r="AD20" s="28"/>
      <c r="AE20" s="258"/>
      <c r="AF20" s="258"/>
      <c r="AG20" s="258"/>
      <c r="AI20" s="257"/>
      <c r="AJ20" s="257"/>
      <c r="AK20" s="611"/>
      <c r="AL20" s="261"/>
      <c r="AM20" s="261"/>
      <c r="AN20" s="261"/>
      <c r="AO20" s="261"/>
      <c r="AP20" s="261"/>
      <c r="AQ20" s="261"/>
      <c r="AR20" s="261"/>
      <c r="AS20" s="261"/>
      <c r="AT20" s="261"/>
      <c r="AU20" s="261"/>
      <c r="AV20" s="262"/>
      <c r="AW20" s="257"/>
      <c r="AX20" s="611"/>
      <c r="AY20" s="261"/>
      <c r="AZ20" s="261"/>
      <c r="BA20" s="261"/>
      <c r="BB20" s="261"/>
      <c r="BC20" s="261"/>
      <c r="BD20" s="261"/>
      <c r="BE20" s="261"/>
      <c r="BF20" s="261"/>
      <c r="BG20" s="261"/>
      <c r="BH20" s="261"/>
      <c r="BI20" s="262"/>
      <c r="BJ20" s="257"/>
      <c r="BK20" s="611"/>
      <c r="BL20" s="261"/>
      <c r="BM20" s="261"/>
      <c r="BN20" s="261"/>
      <c r="BO20" s="261"/>
      <c r="BP20" s="261"/>
      <c r="BQ20" s="261"/>
      <c r="BR20" s="261"/>
      <c r="BS20" s="261"/>
      <c r="BT20" s="261"/>
      <c r="BU20" s="261"/>
      <c r="BV20" s="262"/>
    </row>
    <row r="21" spans="3:78" ht="12.75" customHeight="1">
      <c r="E21" s="24"/>
      <c r="F21" s="59"/>
      <c r="G21" s="341">
        <v>1.0009999999999999</v>
      </c>
      <c r="H21" s="341">
        <v>1.0009999999999999</v>
      </c>
      <c r="I21" s="341">
        <v>1.0009999999999999</v>
      </c>
      <c r="J21" s="341">
        <v>1.01</v>
      </c>
      <c r="K21" s="341">
        <v>1.01</v>
      </c>
      <c r="L21" s="341">
        <v>1.01</v>
      </c>
      <c r="M21" s="341">
        <v>1.01</v>
      </c>
      <c r="N21" s="341">
        <v>1.01</v>
      </c>
      <c r="O21" s="341">
        <v>1.01</v>
      </c>
      <c r="P21" s="59"/>
      <c r="Q21" s="65"/>
      <c r="R21" s="268"/>
      <c r="S21" s="59"/>
      <c r="T21" s="59"/>
      <c r="U21" s="264"/>
      <c r="X21" s="63"/>
      <c r="Y21" s="267"/>
      <c r="Z21" s="63"/>
      <c r="AA21" s="63"/>
      <c r="AB21" s="211"/>
      <c r="AC21" s="28"/>
      <c r="AD21" s="28"/>
      <c r="AE21" s="258"/>
      <c r="AF21" s="258"/>
      <c r="AG21" s="258"/>
      <c r="AI21" s="257"/>
      <c r="AJ21" s="257"/>
      <c r="AK21" s="612"/>
      <c r="AL21" s="261"/>
      <c r="AM21" s="261"/>
      <c r="AN21" s="320" t="s">
        <v>96</v>
      </c>
      <c r="AO21" s="312"/>
      <c r="AP21" s="313"/>
      <c r="AQ21" s="261"/>
      <c r="AR21" s="261"/>
      <c r="AS21" s="261"/>
      <c r="AT21" s="261"/>
      <c r="AU21" s="261"/>
      <c r="AV21" s="262"/>
      <c r="AW21" s="257"/>
      <c r="AX21" s="612"/>
      <c r="AY21" s="261"/>
      <c r="AZ21" s="261"/>
      <c r="BA21" s="320" t="s">
        <v>96</v>
      </c>
      <c r="BB21" s="312"/>
      <c r="BC21" s="313"/>
      <c r="BD21" s="261"/>
      <c r="BE21" s="261"/>
      <c r="BF21" s="261"/>
      <c r="BG21" s="261"/>
      <c r="BH21" s="261"/>
      <c r="BI21" s="262"/>
      <c r="BJ21" s="257"/>
      <c r="BK21" s="612"/>
      <c r="BL21" s="261"/>
      <c r="BM21" s="261"/>
      <c r="BN21" s="320" t="s">
        <v>96</v>
      </c>
      <c r="BO21" s="312"/>
      <c r="BP21" s="313"/>
      <c r="BQ21" s="261"/>
      <c r="BR21" s="261"/>
      <c r="BS21" s="261"/>
      <c r="BT21" s="261"/>
      <c r="BU21" s="261"/>
      <c r="BV21" s="262"/>
    </row>
    <row r="22" spans="3:78" ht="12.75" customHeight="1">
      <c r="F22" s="66"/>
      <c r="G22" s="66"/>
      <c r="H22" s="66"/>
      <c r="I22" s="269"/>
      <c r="L22" s="259"/>
      <c r="M22" s="66"/>
      <c r="N22" s="66"/>
      <c r="O22" s="269"/>
      <c r="P22" s="30"/>
      <c r="Q22" s="102"/>
      <c r="R22" s="282"/>
      <c r="S22" s="102"/>
      <c r="T22" s="66"/>
      <c r="U22" s="269"/>
      <c r="V22" s="66"/>
      <c r="W22" s="66"/>
      <c r="X22" s="67"/>
      <c r="Y22" s="270"/>
      <c r="Z22" s="67"/>
      <c r="AA22" s="67"/>
      <c r="AB22" s="212"/>
      <c r="AE22" s="257"/>
      <c r="AF22" s="257"/>
      <c r="AG22" s="257"/>
      <c r="AI22" s="257"/>
      <c r="AJ22" s="257"/>
      <c r="AK22" s="483"/>
      <c r="AL22" s="261"/>
      <c r="AM22" s="261"/>
      <c r="AN22" s="260" t="s">
        <v>443</v>
      </c>
      <c r="AO22" s="261" t="s">
        <v>458</v>
      </c>
      <c r="AP22" s="262" t="s">
        <v>469</v>
      </c>
      <c r="AQ22" s="261"/>
      <c r="AR22" s="261"/>
      <c r="AS22" s="261"/>
      <c r="AT22" s="261"/>
      <c r="AU22" s="261"/>
      <c r="AV22" s="262"/>
      <c r="AW22" s="257"/>
      <c r="AX22" s="483"/>
      <c r="AY22" s="261"/>
      <c r="AZ22" s="261"/>
      <c r="BA22" s="260" t="s">
        <v>443</v>
      </c>
      <c r="BB22" s="261" t="s">
        <v>458</v>
      </c>
      <c r="BC22" s="262" t="s">
        <v>469</v>
      </c>
      <c r="BD22" s="261"/>
      <c r="BE22" s="261"/>
      <c r="BF22" s="261"/>
      <c r="BG22" s="261"/>
      <c r="BH22" s="261"/>
      <c r="BI22" s="262"/>
      <c r="BJ22" s="257"/>
      <c r="BK22" s="483"/>
      <c r="BL22" s="261"/>
      <c r="BM22" s="261"/>
      <c r="BN22" s="260" t="s">
        <v>443</v>
      </c>
      <c r="BO22" s="261" t="s">
        <v>458</v>
      </c>
      <c r="BP22" s="262" t="s">
        <v>469</v>
      </c>
      <c r="BQ22" s="261"/>
      <c r="BR22" s="261"/>
      <c r="BS22" s="261"/>
      <c r="BT22" s="261"/>
      <c r="BU22" s="261"/>
      <c r="BV22" s="262"/>
    </row>
    <row r="23" spans="3:78" ht="12.75" customHeight="1">
      <c r="F23" s="68" t="s">
        <v>8</v>
      </c>
      <c r="G23" s="68"/>
      <c r="H23" s="68"/>
      <c r="I23" s="271"/>
      <c r="L23" s="259"/>
      <c r="M23" s="68"/>
      <c r="N23" s="68"/>
      <c r="O23" s="271"/>
      <c r="P23" s="69"/>
      <c r="Q23" s="103"/>
      <c r="R23" s="283"/>
      <c r="S23" s="103"/>
      <c r="T23" s="68"/>
      <c r="U23" s="271"/>
      <c r="V23" s="68"/>
      <c r="W23" s="68"/>
      <c r="X23" s="67"/>
      <c r="Y23" s="270"/>
      <c r="Z23" s="67"/>
      <c r="AA23" s="67"/>
      <c r="AB23" s="213"/>
      <c r="AE23" s="257"/>
      <c r="AF23" s="257"/>
      <c r="AG23" s="257"/>
      <c r="AI23" s="257"/>
      <c r="AJ23" s="257"/>
      <c r="AK23" s="260"/>
      <c r="AL23" s="263"/>
      <c r="AM23" s="261"/>
      <c r="AN23" s="326" cm="1">
        <f t="array" ref="AN23">INDEX(RegSplit!$B$4:$AN$6,MATCH(AN22,RegSplit!$A$4:$A$6,0),MATCH($D$6&amp;AK19,RegSplit!$B$2:$AN$2&amp;RegSplit!$B$3:$AN$3,0))</f>
        <v>1</v>
      </c>
      <c r="AO23" s="462" cm="1">
        <f t="array" ref="AO23">INDEX(RegSplit!$B$4:$AN$6,MATCH(AO22,RegSplit!$A$4:$A$6,0),MATCH($D$6&amp;AK19,RegSplit!$B$2:$AN$2&amp;RegSplit!$B$3:$AN$3,0))</f>
        <v>0</v>
      </c>
      <c r="AP23" s="462" cm="1">
        <f t="array" ref="AP23">INDEX(RegSplit!$B$4:$AN$6,MATCH(AP22,RegSplit!$A$4:$A$6,0),MATCH($D$6&amp;AK19,RegSplit!$B$2:$AN$2&amp;RegSplit!$B$3:$AN$3,0))</f>
        <v>0</v>
      </c>
      <c r="AQ23" s="261"/>
      <c r="AR23" s="261"/>
      <c r="AS23" s="261"/>
      <c r="AT23" s="261"/>
      <c r="AU23" s="261"/>
      <c r="AV23" s="262"/>
      <c r="AW23" s="257"/>
      <c r="AX23" s="260"/>
      <c r="AY23" s="263"/>
      <c r="AZ23" s="261"/>
      <c r="BA23" s="326" cm="1">
        <f t="array" ref="BA23">INDEX(RegSplit!$B$4:$AN$6,MATCH(BA22,RegSplit!$A$4:$A$6,0),MATCH($D$6&amp;AX19,RegSplit!$B$2:$AN$2&amp;RegSplit!$B$3:$AN$3,0))</f>
        <v>1</v>
      </c>
      <c r="BB23" s="462" cm="1">
        <f t="array" ref="BB23">INDEX(RegSplit!$B$4:$AN$6,MATCH(BB22,RegSplit!$A$4:$A$6,0),MATCH($D$6&amp;AX19,RegSplit!$B$2:$AN$2&amp;RegSplit!$B$3:$AN$3,0))</f>
        <v>0</v>
      </c>
      <c r="BC23" s="462" cm="1">
        <f t="array" ref="BC23">INDEX(RegSplit!$B$4:$AN$6,MATCH(BC22,RegSplit!$A$4:$A$6,0),MATCH($D$6&amp;AX19,RegSplit!$B$2:$AN$2&amp;RegSplit!$B$3:$AN$3,0))</f>
        <v>0</v>
      </c>
      <c r="BD23" s="261"/>
      <c r="BE23" s="261"/>
      <c r="BF23" s="261"/>
      <c r="BG23" s="261"/>
      <c r="BH23" s="261"/>
      <c r="BI23" s="262"/>
      <c r="BJ23" s="257"/>
      <c r="BK23" s="260"/>
      <c r="BL23" s="263"/>
      <c r="BM23" s="261"/>
      <c r="BN23" s="326" cm="1">
        <f t="array" ref="BN23">INDEX(RegSplit!$B$4:$AN$6,MATCH(BN22,RegSplit!$A$4:$A$6,0),MATCH($D$6&amp;BK19,RegSplit!$B$2:$AN$2&amp;RegSplit!$B$3:$AN$3,0))</f>
        <v>1</v>
      </c>
      <c r="BO23" s="462" cm="1">
        <f t="array" ref="BO23">INDEX(RegSplit!$B$4:$AN$6,MATCH(BO22,RegSplit!$A$4:$A$6,0),MATCH($D$6&amp;BK19,RegSplit!$B$2:$AN$2&amp;RegSplit!$B$3:$AN$3,0))</f>
        <v>0</v>
      </c>
      <c r="BP23" s="462" cm="1">
        <f t="array" ref="BP23">INDEX(RegSplit!$B$4:$AN$6,MATCH(BP22,RegSplit!$A$4:$A$6,0),MATCH($D$6&amp;BK19,RegSplit!$B$2:$AN$2&amp;RegSplit!$B$3:$AN$3,0))</f>
        <v>0</v>
      </c>
      <c r="BQ23" s="261"/>
      <c r="BR23" s="261"/>
      <c r="BS23" s="261"/>
      <c r="BT23" s="261"/>
      <c r="BU23" s="261"/>
      <c r="BV23" s="262"/>
    </row>
    <row r="24" spans="3:78" ht="25.5" customHeight="1">
      <c r="C24" s="32" t="s">
        <v>2</v>
      </c>
      <c r="D24" s="32" t="s">
        <v>26</v>
      </c>
      <c r="E24" s="32" t="s">
        <v>14</v>
      </c>
      <c r="F24" s="32" t="s">
        <v>15</v>
      </c>
      <c r="G24" s="70" t="s">
        <v>448</v>
      </c>
      <c r="H24" s="119" t="s">
        <v>459</v>
      </c>
      <c r="I24" s="284" t="s">
        <v>470</v>
      </c>
      <c r="J24" s="70" t="s">
        <v>449</v>
      </c>
      <c r="K24" s="119" t="s">
        <v>460</v>
      </c>
      <c r="L24" s="284" t="s">
        <v>471</v>
      </c>
      <c r="M24" s="70" t="s">
        <v>450</v>
      </c>
      <c r="N24" s="119" t="s">
        <v>461</v>
      </c>
      <c r="O24" s="284" t="s">
        <v>472</v>
      </c>
      <c r="P24" s="272" t="s">
        <v>451</v>
      </c>
      <c r="Q24" s="284" t="s">
        <v>462</v>
      </c>
      <c r="R24" s="284" t="s">
        <v>473</v>
      </c>
      <c r="S24" s="254" t="s">
        <v>452</v>
      </c>
      <c r="T24" s="255" t="s">
        <v>463</v>
      </c>
      <c r="U24" s="284" t="s">
        <v>474</v>
      </c>
      <c r="V24" s="254" t="s">
        <v>259</v>
      </c>
      <c r="W24" s="487" t="s">
        <v>453</v>
      </c>
      <c r="X24" s="488" t="s">
        <v>464</v>
      </c>
      <c r="Y24" s="489" t="s">
        <v>475</v>
      </c>
      <c r="Z24" s="45" t="s">
        <v>0</v>
      </c>
      <c r="AA24" s="45" t="s">
        <v>258</v>
      </c>
      <c r="AB24" s="490" t="s">
        <v>58</v>
      </c>
      <c r="AC24" s="491" t="s">
        <v>105</v>
      </c>
      <c r="AD24" s="491" t="s">
        <v>250</v>
      </c>
      <c r="AE24" s="492" t="s">
        <v>109</v>
      </c>
      <c r="AG24" s="257"/>
      <c r="AH24" s="257"/>
      <c r="AI24" s="257"/>
      <c r="AK24" s="260"/>
      <c r="AL24" s="261"/>
      <c r="AM24" s="478" t="s">
        <v>255</v>
      </c>
      <c r="AN24" s="479"/>
      <c r="AO24" s="312"/>
      <c r="AP24" s="313"/>
      <c r="AQ24" s="478" t="s">
        <v>96</v>
      </c>
      <c r="AR24" s="479"/>
      <c r="AS24" s="480"/>
      <c r="AT24" s="478" t="s">
        <v>256</v>
      </c>
      <c r="AU24" s="479"/>
      <c r="AV24" s="480"/>
      <c r="AW24" s="257"/>
      <c r="AX24" s="260"/>
      <c r="AY24" s="261"/>
      <c r="AZ24" s="478" t="s">
        <v>255</v>
      </c>
      <c r="BA24" s="479"/>
      <c r="BB24" s="312"/>
      <c r="BC24" s="313"/>
      <c r="BD24" s="478" t="s">
        <v>96</v>
      </c>
      <c r="BE24" s="479"/>
      <c r="BF24" s="480"/>
      <c r="BG24" s="478" t="s">
        <v>256</v>
      </c>
      <c r="BH24" s="479"/>
      <c r="BI24" s="480"/>
      <c r="BJ24" s="257"/>
      <c r="BK24" s="260"/>
      <c r="BL24" s="261"/>
      <c r="BM24" s="478" t="s">
        <v>255</v>
      </c>
      <c r="BN24" s="479"/>
      <c r="BO24" s="312"/>
      <c r="BP24" s="313"/>
      <c r="BQ24" s="478" t="s">
        <v>96</v>
      </c>
      <c r="BR24" s="479"/>
      <c r="BS24" s="480"/>
      <c r="BT24" s="478" t="s">
        <v>256</v>
      </c>
      <c r="BU24" s="479"/>
      <c r="BV24" s="480"/>
    </row>
    <row r="25" spans="3:78" ht="25" thickBot="1">
      <c r="C25" s="71" t="s">
        <v>27</v>
      </c>
      <c r="D25" s="71"/>
      <c r="E25" s="71"/>
      <c r="F25" s="71"/>
      <c r="G25" s="71" t="s">
        <v>46</v>
      </c>
      <c r="H25" s="71" t="s">
        <v>46</v>
      </c>
      <c r="I25" s="273"/>
      <c r="J25" s="71" t="s">
        <v>46</v>
      </c>
      <c r="K25" s="71" t="s">
        <v>46</v>
      </c>
      <c r="L25" s="273"/>
      <c r="M25" s="71" t="s">
        <v>46</v>
      </c>
      <c r="N25" s="71" t="s">
        <v>46</v>
      </c>
      <c r="O25" s="273"/>
      <c r="P25" s="273" t="s">
        <v>46</v>
      </c>
      <c r="Q25" s="273" t="s">
        <v>46</v>
      </c>
      <c r="R25" s="273"/>
      <c r="S25" s="249" t="s">
        <v>46</v>
      </c>
      <c r="T25" s="249" t="s">
        <v>46</v>
      </c>
      <c r="U25" s="273"/>
      <c r="V25" s="295" t="s">
        <v>110</v>
      </c>
      <c r="W25" s="292" t="s">
        <v>49</v>
      </c>
      <c r="X25" s="273" t="s">
        <v>49</v>
      </c>
      <c r="Y25" s="273"/>
      <c r="Z25" s="485" t="s">
        <v>93</v>
      </c>
      <c r="AA25" s="485"/>
      <c r="AB25" s="486" t="s">
        <v>253</v>
      </c>
      <c r="AC25" s="486"/>
      <c r="AD25" s="486"/>
      <c r="AE25" s="486" t="s">
        <v>110</v>
      </c>
      <c r="AG25" s="257">
        <v>2010</v>
      </c>
      <c r="AH25" s="257">
        <v>2015</v>
      </c>
      <c r="AI25" s="257">
        <v>2019</v>
      </c>
      <c r="AK25" s="467"/>
      <c r="AL25" s="475" t="s">
        <v>44</v>
      </c>
      <c r="AM25" s="463" t="s">
        <v>428</v>
      </c>
      <c r="AN25" s="464" t="s">
        <v>443</v>
      </c>
      <c r="AO25" s="464" t="s">
        <v>458</v>
      </c>
      <c r="AP25" s="465" t="s">
        <v>469</v>
      </c>
      <c r="AQ25" s="463" t="s">
        <v>443</v>
      </c>
      <c r="AR25" s="464" t="s">
        <v>458</v>
      </c>
      <c r="AS25" s="465" t="s">
        <v>469</v>
      </c>
      <c r="AT25" s="463" t="s">
        <v>443</v>
      </c>
      <c r="AU25" s="464" t="s">
        <v>458</v>
      </c>
      <c r="AV25" s="465" t="s">
        <v>469</v>
      </c>
      <c r="AW25" s="257"/>
      <c r="AX25" s="467"/>
      <c r="AY25" s="475" t="s">
        <v>44</v>
      </c>
      <c r="AZ25" s="463" t="s">
        <v>428</v>
      </c>
      <c r="BA25" s="464" t="s">
        <v>443</v>
      </c>
      <c r="BB25" s="464" t="s">
        <v>458</v>
      </c>
      <c r="BC25" s="465" t="s">
        <v>469</v>
      </c>
      <c r="BD25" s="463" t="s">
        <v>443</v>
      </c>
      <c r="BE25" s="464" t="s">
        <v>458</v>
      </c>
      <c r="BF25" s="465" t="s">
        <v>469</v>
      </c>
      <c r="BG25" s="463" t="s">
        <v>443</v>
      </c>
      <c r="BH25" s="464" t="s">
        <v>458</v>
      </c>
      <c r="BI25" s="465" t="s">
        <v>469</v>
      </c>
      <c r="BJ25" s="257"/>
      <c r="BK25" s="467"/>
      <c r="BL25" s="475" t="s">
        <v>44</v>
      </c>
      <c r="BM25" s="463" t="s">
        <v>428</v>
      </c>
      <c r="BN25" s="464" t="s">
        <v>443</v>
      </c>
      <c r="BO25" s="464" t="s">
        <v>458</v>
      </c>
      <c r="BP25" s="465" t="s">
        <v>469</v>
      </c>
      <c r="BQ25" s="463" t="s">
        <v>443</v>
      </c>
      <c r="BR25" s="464" t="s">
        <v>458</v>
      </c>
      <c r="BS25" s="465" t="s">
        <v>469</v>
      </c>
      <c r="BT25" s="463" t="s">
        <v>443</v>
      </c>
      <c r="BU25" s="464" t="s">
        <v>458</v>
      </c>
      <c r="BV25" s="465" t="s">
        <v>469</v>
      </c>
    </row>
    <row r="26" spans="3:78" ht="12.75" customHeight="1">
      <c r="C26" s="133" t="str">
        <f ca="1">+IF(OFFSET(Processes!B7,$D$11,0)="*","*",OFFSET(Processes!D7,$D$11,0))</f>
        <v>AGRPHBNGAE1</v>
      </c>
      <c r="D26" s="133" t="str">
        <f ca="1">+OFFSET(Processes!E7,$D$11,0)</f>
        <v>Agriculture Heat Medium Temp. Boiler - Nat. Gas Existing 1</v>
      </c>
      <c r="E26" s="136" t="str">
        <f>+Processes!O7</f>
        <v>AGRSNG1,AGRSNG2,AGRNGA</v>
      </c>
      <c r="F26" s="136" t="str">
        <f>Commodities!$D$6</f>
        <v>AGDPH</v>
      </c>
      <c r="G26" s="289">
        <f>AN26/($Z26*$AA26)*G$21*W26</f>
        <v>0</v>
      </c>
      <c r="H26" s="289">
        <f>AO26/($Z26*$AA26)*H$21*X26</f>
        <v>0</v>
      </c>
      <c r="I26" s="289">
        <f>AP26/($Z26*$AA26)*I$21*Y26</f>
        <v>0</v>
      </c>
      <c r="J26" s="289">
        <f t="shared" ref="J26:L29" si="0">BA26/($Z26*$AA26)*J$21*W26</f>
        <v>0</v>
      </c>
      <c r="K26" s="289">
        <f>BB26/($Z26*$AA26)*K$21*X26</f>
        <v>0</v>
      </c>
      <c r="L26" s="289">
        <f t="shared" si="0"/>
        <v>0</v>
      </c>
      <c r="M26" s="289">
        <f t="shared" ref="M26:O29" si="1">BN26/($Z26*$AA26)*M$21*W26</f>
        <v>0</v>
      </c>
      <c r="N26" s="289">
        <f t="shared" si="1"/>
        <v>0</v>
      </c>
      <c r="O26" s="289">
        <f t="shared" si="1"/>
        <v>0</v>
      </c>
      <c r="P26" s="289">
        <f t="shared" ref="P26:P62" si="2">M26</f>
        <v>0</v>
      </c>
      <c r="Q26" s="289">
        <f t="shared" ref="Q26:Q62" si="3">N26</f>
        <v>0</v>
      </c>
      <c r="R26" s="289">
        <f t="shared" ref="R26:R62" si="4">O26</f>
        <v>0</v>
      </c>
      <c r="S26" s="289">
        <f t="shared" ref="S26:S62" si="5">IF($AB26=20,0,M26/5)*IF(M26=0,0,1)</f>
        <v>0</v>
      </c>
      <c r="T26" s="289">
        <f t="shared" ref="T26:T62" si="6">IF($AB26=20,0,N26/5)*IF(N26=0,0,1)</f>
        <v>0</v>
      </c>
      <c r="U26" s="289">
        <f t="shared" ref="U26:U62" si="7">IF($AB26=20,0,O26/5)*IF(O26=0,0,1)</f>
        <v>0</v>
      </c>
      <c r="V26" s="289">
        <v>5</v>
      </c>
      <c r="W26" s="305">
        <f>I146</f>
        <v>0.99960000000000004</v>
      </c>
      <c r="X26" s="493">
        <f t="shared" ref="X26:Y28" si="8">W26</f>
        <v>0.99960000000000004</v>
      </c>
      <c r="Y26" s="493">
        <f t="shared" si="8"/>
        <v>0.99960000000000004</v>
      </c>
      <c r="Z26" s="153">
        <f>3.6*8760/1000000</f>
        <v>3.1536000000000002E-2</v>
      </c>
      <c r="AA26" s="343">
        <v>0.5</v>
      </c>
      <c r="AB26" s="250">
        <v>20</v>
      </c>
      <c r="AC26" s="241"/>
      <c r="AD26" s="241"/>
      <c r="AE26" s="245"/>
      <c r="AG26" s="217">
        <f t="shared" ref="AG26:AG41" si="9">((G26*Z26*AA26/W26)+(H26*Z26*AA26/X26))/$G$21</f>
        <v>0</v>
      </c>
      <c r="AH26" s="217">
        <f t="shared" ref="AH26:AH41" si="10">((J26*Z26*AA26/W26)+(K26*Z26*AA26/X26))/$J$21</f>
        <v>0</v>
      </c>
      <c r="AI26" s="217">
        <f t="shared" ref="AI26:AI41" si="11">((M26*AA26*Z26/W26)+(N26*Z26*AA26/X26))/$M$21</f>
        <v>0</v>
      </c>
      <c r="AK26" s="466" t="str">
        <f>F26</f>
        <v>AGDPH</v>
      </c>
      <c r="AL26" s="312" t="s">
        <v>97</v>
      </c>
      <c r="AM26" s="281">
        <f>I77/1000</f>
        <v>0</v>
      </c>
      <c r="AN26" s="278">
        <f>AM26*$AN$23</f>
        <v>0</v>
      </c>
      <c r="AO26" s="279">
        <f>AM26*$AO$23</f>
        <v>0</v>
      </c>
      <c r="AP26" s="279">
        <f>AM26*$AP$23</f>
        <v>0</v>
      </c>
      <c r="AQ26" s="280">
        <f>IFERROR(G26*$Z26*$AA26/G$21,0)</f>
        <v>0</v>
      </c>
      <c r="AR26" s="279">
        <f>IFERROR(H26*$Z26*$AA26/H$21,0)</f>
        <v>0</v>
      </c>
      <c r="AS26" s="304">
        <f>IFERROR(I26*$Z26*$AA26/I$21,0)</f>
        <v>0</v>
      </c>
      <c r="AT26" s="281">
        <f t="shared" ref="AT26:AV29" si="12">IFERROR(AQ26/W26,0)</f>
        <v>0</v>
      </c>
      <c r="AU26" s="278">
        <f t="shared" si="12"/>
        <v>0</v>
      </c>
      <c r="AV26" s="319">
        <f t="shared" si="12"/>
        <v>0</v>
      </c>
      <c r="AW26" s="257"/>
      <c r="AX26" s="466" t="str">
        <f t="shared" ref="AX26:AX62" si="13">AK26</f>
        <v>AGDPH</v>
      </c>
      <c r="AY26" s="312" t="s">
        <v>97</v>
      </c>
      <c r="AZ26" s="281">
        <f>I102/1000</f>
        <v>0</v>
      </c>
      <c r="BA26" s="278">
        <f>DE26*$AN$23</f>
        <v>0</v>
      </c>
      <c r="BB26" s="279">
        <f>DE26*$BB$23</f>
        <v>0</v>
      </c>
      <c r="BC26" s="279">
        <f>DE26*$BC$23</f>
        <v>0</v>
      </c>
      <c r="BD26" s="281">
        <f>IFERROR(J26*$Z26*AA26/J$21,0)</f>
        <v>0</v>
      </c>
      <c r="BE26" s="278">
        <f>IFERROR(K26*$Z26*AA26/K$21,0)</f>
        <v>0</v>
      </c>
      <c r="BF26" s="319">
        <f>IFERROR(L26*$Z26*AA26/L$21,0)</f>
        <v>0</v>
      </c>
      <c r="BG26" s="281">
        <f t="shared" ref="BG26:BG35" si="14">IFERROR(BD26/W26,0)</f>
        <v>0</v>
      </c>
      <c r="BH26" s="278">
        <f t="shared" ref="BH26:BH35" si="15">IFERROR(BE26/X26,0)</f>
        <v>0</v>
      </c>
      <c r="BI26" s="319">
        <f t="shared" ref="BI26:BI35" si="16">IFERROR(BF26/Y26,0)</f>
        <v>0</v>
      </c>
      <c r="BJ26" s="257"/>
      <c r="BK26" s="466" t="str">
        <f>AK26</f>
        <v>AGDPH</v>
      </c>
      <c r="BL26" s="312" t="s">
        <v>97</v>
      </c>
      <c r="BM26" s="281">
        <f>I127/1000</f>
        <v>0</v>
      </c>
      <c r="BN26" s="278">
        <f>BM26*$AN$23</f>
        <v>0</v>
      </c>
      <c r="BO26" s="279">
        <f>BM26*$BB$23</f>
        <v>0</v>
      </c>
      <c r="BP26" s="279">
        <f>BM26*$BC$23</f>
        <v>0</v>
      </c>
      <c r="BQ26" s="280">
        <f>IFERROR(M26*$Z26*$AA26/M$21,0)</f>
        <v>0</v>
      </c>
      <c r="BR26" s="279">
        <f>IFERROR(N26*$Z26*$AA26/N$21,0)</f>
        <v>0</v>
      </c>
      <c r="BS26" s="304">
        <f>IFERROR(O26*$Z26*$AA26/O$21,0)</f>
        <v>0</v>
      </c>
      <c r="BT26" s="281">
        <f>IFERROR(BQ26/W26,0)</f>
        <v>0</v>
      </c>
      <c r="BU26" s="278">
        <f t="shared" ref="BU26:BU35" si="17">IFERROR(BR26/X26,0)</f>
        <v>0</v>
      </c>
      <c r="BV26" s="319">
        <f t="shared" ref="BV26:BV35" si="18">IFERROR(BS26/Y26,0)</f>
        <v>0</v>
      </c>
      <c r="BX26" s="39"/>
      <c r="BY26" s="39"/>
    </row>
    <row r="27" spans="3:78" ht="12.75" customHeight="1">
      <c r="C27" s="133" t="str">
        <f ca="1">+IF(OFFSET(Processes!B8,$D$11,0)="*","*",OFFSET(Processes!D8,$D$11,0))</f>
        <v>AGRPHBCOAE1</v>
      </c>
      <c r="D27" s="133" t="str">
        <f ca="1">+OFFSET(Processes!E8,$D$11,0)</f>
        <v>Agriculture Heat Medium Temp. Boiler - Coal Existing 1</v>
      </c>
      <c r="E27" s="136" t="str">
        <f>+Processes!O8</f>
        <v>AGRCOA</v>
      </c>
      <c r="F27" s="136" t="str">
        <f>Commodities!$D$6</f>
        <v>AGDPH</v>
      </c>
      <c r="G27" s="289">
        <f t="shared" ref="G27:I29" si="19">AN27/($Z27*$AA27)*G$21*W27</f>
        <v>0</v>
      </c>
      <c r="H27" s="289">
        <f t="shared" si="19"/>
        <v>0</v>
      </c>
      <c r="I27" s="289">
        <f t="shared" si="19"/>
        <v>0</v>
      </c>
      <c r="J27" s="289">
        <f t="shared" si="0"/>
        <v>0</v>
      </c>
      <c r="K27" s="289">
        <f t="shared" si="0"/>
        <v>0</v>
      </c>
      <c r="L27" s="289">
        <f t="shared" si="0"/>
        <v>0</v>
      </c>
      <c r="M27" s="289">
        <f t="shared" si="1"/>
        <v>0</v>
      </c>
      <c r="N27" s="289">
        <f t="shared" si="1"/>
        <v>0</v>
      </c>
      <c r="O27" s="289">
        <f t="shared" si="1"/>
        <v>0</v>
      </c>
      <c r="P27" s="289">
        <f t="shared" si="2"/>
        <v>0</v>
      </c>
      <c r="Q27" s="289">
        <f t="shared" si="3"/>
        <v>0</v>
      </c>
      <c r="R27" s="289">
        <f t="shared" si="4"/>
        <v>0</v>
      </c>
      <c r="S27" s="289">
        <f t="shared" si="5"/>
        <v>0</v>
      </c>
      <c r="T27" s="289">
        <f t="shared" si="6"/>
        <v>0</v>
      </c>
      <c r="U27" s="289">
        <f t="shared" si="7"/>
        <v>0</v>
      </c>
      <c r="V27" s="289">
        <v>5</v>
      </c>
      <c r="W27" s="306">
        <f>D146</f>
        <v>0.93099999999999994</v>
      </c>
      <c r="X27" s="459">
        <f t="shared" si="8"/>
        <v>0.93099999999999994</v>
      </c>
      <c r="Y27" s="459">
        <f t="shared" si="8"/>
        <v>0.93099999999999994</v>
      </c>
      <c r="Z27" s="153">
        <f>3.6*8760/1000000</f>
        <v>3.1536000000000002E-2</v>
      </c>
      <c r="AA27" s="343">
        <f>$AA$26</f>
        <v>0.5</v>
      </c>
      <c r="AB27" s="250">
        <v>20</v>
      </c>
      <c r="AC27" s="241"/>
      <c r="AD27" s="241"/>
      <c r="AE27" s="245"/>
      <c r="AF27" s="257"/>
      <c r="AG27" s="217">
        <f t="shared" si="9"/>
        <v>0</v>
      </c>
      <c r="AH27" s="217">
        <f t="shared" si="10"/>
        <v>0</v>
      </c>
      <c r="AI27" s="217">
        <f t="shared" si="11"/>
        <v>0</v>
      </c>
      <c r="AK27" s="260"/>
      <c r="AL27" s="261" t="s">
        <v>98</v>
      </c>
      <c r="AM27" s="275">
        <f>D77/1000</f>
        <v>0</v>
      </c>
      <c r="AN27" s="276">
        <f>AM27*$AN$23</f>
        <v>0</v>
      </c>
      <c r="AO27" s="277">
        <f t="shared" ref="AO27:AO29" si="20">AM27*$AO$23</f>
        <v>0</v>
      </c>
      <c r="AP27" s="277">
        <f>AM27*$AP$23</f>
        <v>0</v>
      </c>
      <c r="AQ27" s="274">
        <f t="shared" ref="AQ27:AQ62" si="21">IFERROR(G27*$Z27*$AA27/G$21,0)</f>
        <v>0</v>
      </c>
      <c r="AR27" s="277">
        <f t="shared" ref="AR27:AR62" si="22">IFERROR(H27*$Z27*$AA27/H$21,0)</f>
        <v>0</v>
      </c>
      <c r="AS27" s="476">
        <f t="shared" ref="AS27:AS62" si="23">IFERROR(I27*$Z27*$AA27/I$21,0)</f>
        <v>0</v>
      </c>
      <c r="AT27" s="275">
        <f t="shared" si="12"/>
        <v>0</v>
      </c>
      <c r="AU27" s="276">
        <f t="shared" si="12"/>
        <v>0</v>
      </c>
      <c r="AV27" s="315">
        <f t="shared" si="12"/>
        <v>0</v>
      </c>
      <c r="AW27" s="257"/>
      <c r="AX27" s="260"/>
      <c r="AY27" s="261" t="s">
        <v>98</v>
      </c>
      <c r="AZ27" s="275">
        <f>D102/1000</f>
        <v>0</v>
      </c>
      <c r="BA27" s="276">
        <f>DE27*$AN$23</f>
        <v>0</v>
      </c>
      <c r="BB27" s="277">
        <f>DE27*$BB$23</f>
        <v>0</v>
      </c>
      <c r="BC27" s="277">
        <f>DE27*$BC$23</f>
        <v>0</v>
      </c>
      <c r="BD27" s="275">
        <f t="shared" ref="BD27:BD57" si="24">IFERROR(J27*$Z27*AA27/J$21,0)</f>
        <v>0</v>
      </c>
      <c r="BE27" s="276">
        <f t="shared" ref="BE27:BE57" si="25">IFERROR(K27*$Z27*AA27/K$21,0)</f>
        <v>0</v>
      </c>
      <c r="BF27" s="315">
        <f t="shared" ref="BF27:BF57" si="26">IFERROR(L27*$Z27*AB27/L$21,0)</f>
        <v>0</v>
      </c>
      <c r="BG27" s="275">
        <f t="shared" si="14"/>
        <v>0</v>
      </c>
      <c r="BH27" s="276">
        <f t="shared" si="15"/>
        <v>0</v>
      </c>
      <c r="BI27" s="315">
        <f t="shared" si="16"/>
        <v>0</v>
      </c>
      <c r="BJ27" s="257"/>
      <c r="BK27" s="260"/>
      <c r="BL27" s="261" t="s">
        <v>98</v>
      </c>
      <c r="BM27" s="275">
        <f>D127/1000</f>
        <v>0</v>
      </c>
      <c r="BN27" s="276">
        <f>BM27*$AN$23</f>
        <v>0</v>
      </c>
      <c r="BO27" s="277">
        <f t="shared" ref="BO27:BO29" si="27">BM27*$BB$23</f>
        <v>0</v>
      </c>
      <c r="BP27" s="277">
        <f t="shared" ref="BP27:BP29" si="28">BM27*$BC$23</f>
        <v>0</v>
      </c>
      <c r="BQ27" s="274">
        <f t="shared" ref="BQ27:BQ62" si="29">IFERROR(M27*$Z27*$AA27/M$21,0)</f>
        <v>0</v>
      </c>
      <c r="BR27" s="277">
        <f t="shared" ref="BR27:BR62" si="30">IFERROR(N27*$Z27*$AA27/N$21,0)</f>
        <v>0</v>
      </c>
      <c r="BS27" s="476">
        <f t="shared" ref="BS27:BS62" si="31">IFERROR(O27*$Z27*$AA27/O$21,0)</f>
        <v>0</v>
      </c>
      <c r="BT27" s="275">
        <f t="shared" ref="BT27:BT35" si="32">IFERROR(BQ27/W27,0)</f>
        <v>0</v>
      </c>
      <c r="BU27" s="276">
        <f t="shared" si="17"/>
        <v>0</v>
      </c>
      <c r="BV27" s="315">
        <f t="shared" si="18"/>
        <v>0</v>
      </c>
    </row>
    <row r="28" spans="3:78" ht="12.75" customHeight="1">
      <c r="C28" s="133" t="str">
        <f ca="1">+IF(OFFSET(Processes!B9,$D$11,0)="*","*",OFFSET(Processes!D9,$D$11,0))</f>
        <v>AGRPHBDSLE1</v>
      </c>
      <c r="D28" s="133" t="str">
        <f ca="1">+OFFSET(Processes!E9,$D$11,0)</f>
        <v>Agriculture Heat Medium Temp. Boiler - Diesel Existing 1</v>
      </c>
      <c r="E28" s="136" t="str">
        <f>+Processes!O9</f>
        <v>AGRDSB1,AGRDSB2,AGRDSL</v>
      </c>
      <c r="F28" s="136" t="str">
        <f>Commodities!$D$6</f>
        <v>AGDPH</v>
      </c>
      <c r="G28" s="289">
        <f t="shared" si="19"/>
        <v>0</v>
      </c>
      <c r="H28" s="289">
        <f t="shared" si="19"/>
        <v>0</v>
      </c>
      <c r="I28" s="289">
        <f t="shared" si="19"/>
        <v>0</v>
      </c>
      <c r="J28" s="289">
        <f t="shared" si="0"/>
        <v>0</v>
      </c>
      <c r="K28" s="289">
        <f t="shared" si="0"/>
        <v>0</v>
      </c>
      <c r="L28" s="289">
        <f t="shared" si="0"/>
        <v>0</v>
      </c>
      <c r="M28" s="289">
        <f t="shared" si="1"/>
        <v>0</v>
      </c>
      <c r="N28" s="289">
        <f t="shared" si="1"/>
        <v>0</v>
      </c>
      <c r="O28" s="289">
        <f t="shared" si="1"/>
        <v>0</v>
      </c>
      <c r="P28" s="289">
        <f t="shared" si="2"/>
        <v>0</v>
      </c>
      <c r="Q28" s="289">
        <f t="shared" si="3"/>
        <v>0</v>
      </c>
      <c r="R28" s="289">
        <f t="shared" si="4"/>
        <v>0</v>
      </c>
      <c r="S28" s="289">
        <f t="shared" si="5"/>
        <v>0</v>
      </c>
      <c r="T28" s="289">
        <f t="shared" si="6"/>
        <v>0</v>
      </c>
      <c r="U28" s="289">
        <f t="shared" si="7"/>
        <v>0</v>
      </c>
      <c r="V28" s="289">
        <v>5</v>
      </c>
      <c r="W28" s="306">
        <f>F146</f>
        <v>0.94079999999999997</v>
      </c>
      <c r="X28" s="459">
        <f t="shared" si="8"/>
        <v>0.94079999999999997</v>
      </c>
      <c r="Y28" s="459">
        <f t="shared" si="8"/>
        <v>0.94079999999999997</v>
      </c>
      <c r="Z28" s="153">
        <f>3.6*8760/1000000</f>
        <v>3.1536000000000002E-2</v>
      </c>
      <c r="AA28" s="343">
        <f>$AA$26</f>
        <v>0.5</v>
      </c>
      <c r="AB28" s="250">
        <v>20</v>
      </c>
      <c r="AC28" s="241"/>
      <c r="AD28" s="241"/>
      <c r="AE28" s="245"/>
      <c r="AF28" s="257"/>
      <c r="AG28" s="217">
        <f t="shared" si="9"/>
        <v>0</v>
      </c>
      <c r="AH28" s="217">
        <f t="shared" si="10"/>
        <v>0</v>
      </c>
      <c r="AI28" s="217">
        <f t="shared" si="11"/>
        <v>0</v>
      </c>
      <c r="AK28" s="260"/>
      <c r="AL28" s="261" t="s">
        <v>59</v>
      </c>
      <c r="AM28" s="275">
        <f>F77/1000</f>
        <v>0</v>
      </c>
      <c r="AN28" s="276">
        <f>AM28*$AN$23</f>
        <v>0</v>
      </c>
      <c r="AO28" s="277">
        <f t="shared" si="20"/>
        <v>0</v>
      </c>
      <c r="AP28" s="277">
        <f>AM28*$AP$23</f>
        <v>0</v>
      </c>
      <c r="AQ28" s="274">
        <f t="shared" si="21"/>
        <v>0</v>
      </c>
      <c r="AR28" s="277">
        <f t="shared" si="22"/>
        <v>0</v>
      </c>
      <c r="AS28" s="476">
        <f t="shared" si="23"/>
        <v>0</v>
      </c>
      <c r="AT28" s="275">
        <f t="shared" si="12"/>
        <v>0</v>
      </c>
      <c r="AU28" s="276">
        <f t="shared" si="12"/>
        <v>0</v>
      </c>
      <c r="AV28" s="315">
        <f t="shared" si="12"/>
        <v>0</v>
      </c>
      <c r="AW28" s="257"/>
      <c r="AX28" s="260"/>
      <c r="AY28" s="261" t="s">
        <v>59</v>
      </c>
      <c r="AZ28" s="275">
        <f>F102/1000</f>
        <v>0</v>
      </c>
      <c r="BA28" s="276">
        <f>DE28*$AN$23</f>
        <v>0</v>
      </c>
      <c r="BB28" s="277">
        <f>DE28*$BB$23</f>
        <v>0</v>
      </c>
      <c r="BC28" s="277">
        <f>DE28*$BC$23</f>
        <v>0</v>
      </c>
      <c r="BD28" s="275">
        <f>IFERROR(J28*$Z28*AA28/J$21,0)</f>
        <v>0</v>
      </c>
      <c r="BE28" s="276">
        <f t="shared" ref="BE28" si="33">IFERROR(K28*$Z28*AA28/K$21,0)</f>
        <v>0</v>
      </c>
      <c r="BF28" s="315">
        <f>IFERROR(L28*$Z28*AA28/L$21,0)</f>
        <v>0</v>
      </c>
      <c r="BG28" s="275">
        <f t="shared" si="14"/>
        <v>0</v>
      </c>
      <c r="BH28" s="276">
        <f t="shared" si="15"/>
        <v>0</v>
      </c>
      <c r="BI28" s="315">
        <f t="shared" si="16"/>
        <v>0</v>
      </c>
      <c r="BJ28" s="257"/>
      <c r="BK28" s="260"/>
      <c r="BL28" s="261" t="s">
        <v>59</v>
      </c>
      <c r="BM28" s="275">
        <f>F127/1000</f>
        <v>0</v>
      </c>
      <c r="BN28" s="276">
        <f>BM28*$AN$23</f>
        <v>0</v>
      </c>
      <c r="BO28" s="277">
        <f t="shared" si="27"/>
        <v>0</v>
      </c>
      <c r="BP28" s="277">
        <f t="shared" si="28"/>
        <v>0</v>
      </c>
      <c r="BQ28" s="274">
        <f t="shared" si="29"/>
        <v>0</v>
      </c>
      <c r="BR28" s="277">
        <f t="shared" si="30"/>
        <v>0</v>
      </c>
      <c r="BS28" s="476">
        <f t="shared" si="31"/>
        <v>0</v>
      </c>
      <c r="BT28" s="275">
        <f>IFERROR(BQ28/W28,0)</f>
        <v>0</v>
      </c>
      <c r="BU28" s="276">
        <f t="shared" si="17"/>
        <v>0</v>
      </c>
      <c r="BV28" s="315">
        <f t="shared" si="18"/>
        <v>0</v>
      </c>
      <c r="BX28" s="257"/>
      <c r="BY28" s="257"/>
    </row>
    <row r="29" spans="3:78" ht="12.75" customHeight="1">
      <c r="C29" s="133" t="str">
        <f ca="1">+IF(OFFSET(Processes!B10,$D$11,0)="*","*",OFFSET(Processes!D10,$D$11,0))</f>
        <v>AGRPHBWPEE1</v>
      </c>
      <c r="D29" s="133" t="str">
        <f ca="1">+OFFSET(Processes!E10,$D$11,0)</f>
        <v>Agriculture Heat Medium Temp. Boiler - Wood Pellets Existing 1</v>
      </c>
      <c r="E29" s="136" t="str">
        <f>+Processes!O10</f>
        <v>AGRWPE</v>
      </c>
      <c r="F29" s="136" t="str">
        <f>Commodities!$D$6</f>
        <v>AGDPH</v>
      </c>
      <c r="G29" s="288">
        <f t="shared" si="19"/>
        <v>627.38424099441909</v>
      </c>
      <c r="H29" s="288">
        <f t="shared" si="19"/>
        <v>0</v>
      </c>
      <c r="I29" s="288">
        <f t="shared" si="19"/>
        <v>0</v>
      </c>
      <c r="J29" s="288">
        <f t="shared" si="0"/>
        <v>0</v>
      </c>
      <c r="K29" s="288">
        <f t="shared" si="0"/>
        <v>0</v>
      </c>
      <c r="L29" s="288">
        <f t="shared" si="0"/>
        <v>0</v>
      </c>
      <c r="M29" s="288">
        <f t="shared" si="1"/>
        <v>1252.4974898528665</v>
      </c>
      <c r="N29" s="288">
        <f t="shared" si="1"/>
        <v>0</v>
      </c>
      <c r="O29" s="288">
        <f t="shared" si="1"/>
        <v>0</v>
      </c>
      <c r="P29" s="289">
        <f t="shared" si="2"/>
        <v>1252.4974898528665</v>
      </c>
      <c r="Q29" s="289">
        <f t="shared" si="3"/>
        <v>0</v>
      </c>
      <c r="R29" s="289">
        <f t="shared" si="4"/>
        <v>0</v>
      </c>
      <c r="S29" s="288">
        <f t="shared" si="5"/>
        <v>0</v>
      </c>
      <c r="T29" s="288">
        <f t="shared" si="6"/>
        <v>0</v>
      </c>
      <c r="U29" s="288">
        <f t="shared" si="7"/>
        <v>0</v>
      </c>
      <c r="V29" s="288">
        <v>5</v>
      </c>
      <c r="W29" s="306">
        <f>$K$146</f>
        <v>0.83299999999999996</v>
      </c>
      <c r="X29" s="459">
        <f>$W$29</f>
        <v>0.83299999999999996</v>
      </c>
      <c r="Y29" s="459">
        <f>$W$29</f>
        <v>0.83299999999999996</v>
      </c>
      <c r="Z29" s="153">
        <f>3.6*8760/1000000</f>
        <v>3.1536000000000002E-2</v>
      </c>
      <c r="AA29" s="343">
        <f>$AA$26</f>
        <v>0.5</v>
      </c>
      <c r="AB29" s="250">
        <v>20</v>
      </c>
      <c r="AC29" s="241">
        <v>0.5</v>
      </c>
      <c r="AD29" s="286">
        <v>0.5</v>
      </c>
      <c r="AE29" s="245">
        <v>5</v>
      </c>
      <c r="AF29" s="257"/>
      <c r="AG29" s="217">
        <f t="shared" si="9"/>
        <v>11.864000000000003</v>
      </c>
      <c r="AH29" s="217">
        <f t="shared" si="10"/>
        <v>0</v>
      </c>
      <c r="AI29" s="217">
        <f t="shared" si="11"/>
        <v>23.474</v>
      </c>
      <c r="AK29" s="260"/>
      <c r="AL29" s="495" t="s">
        <v>99</v>
      </c>
      <c r="AM29" s="496">
        <f>K77/1000</f>
        <v>11.864000000000001</v>
      </c>
      <c r="AN29" s="497">
        <f>AM29*$AN$23</f>
        <v>11.864000000000001</v>
      </c>
      <c r="AO29" s="498">
        <f t="shared" si="20"/>
        <v>0</v>
      </c>
      <c r="AP29" s="498">
        <f>AM29*$AP$23</f>
        <v>0</v>
      </c>
      <c r="AQ29" s="518">
        <f t="shared" si="21"/>
        <v>9.8827120000000015</v>
      </c>
      <c r="AR29" s="498">
        <f t="shared" si="22"/>
        <v>0</v>
      </c>
      <c r="AS29" s="499">
        <f t="shared" si="23"/>
        <v>0</v>
      </c>
      <c r="AT29" s="496">
        <f t="shared" si="12"/>
        <v>11.864000000000003</v>
      </c>
      <c r="AU29" s="497">
        <f t="shared" si="12"/>
        <v>0</v>
      </c>
      <c r="AV29" s="502">
        <f t="shared" si="12"/>
        <v>0</v>
      </c>
      <c r="AW29" s="257"/>
      <c r="AX29" s="260"/>
      <c r="AY29" s="495" t="s">
        <v>99</v>
      </c>
      <c r="AZ29" s="496">
        <f>K102/1000</f>
        <v>22.744</v>
      </c>
      <c r="BA29" s="497">
        <f>DE29*$AN$23</f>
        <v>0</v>
      </c>
      <c r="BB29" s="498">
        <f>DE29*$BB$23</f>
        <v>0</v>
      </c>
      <c r="BC29" s="498">
        <f>DE29*$BC$23</f>
        <v>0</v>
      </c>
      <c r="BD29" s="496">
        <f t="shared" si="24"/>
        <v>0</v>
      </c>
      <c r="BE29" s="497">
        <f t="shared" si="25"/>
        <v>0</v>
      </c>
      <c r="BF29" s="502">
        <f t="shared" si="26"/>
        <v>0</v>
      </c>
      <c r="BG29" s="496">
        <f t="shared" si="14"/>
        <v>0</v>
      </c>
      <c r="BH29" s="497">
        <f t="shared" si="15"/>
        <v>0</v>
      </c>
      <c r="BI29" s="502">
        <f t="shared" si="16"/>
        <v>0</v>
      </c>
      <c r="BJ29" s="257"/>
      <c r="BK29" s="260"/>
      <c r="BL29" s="495" t="s">
        <v>99</v>
      </c>
      <c r="BM29" s="496">
        <f>K127/1000</f>
        <v>23.474</v>
      </c>
      <c r="BN29" s="497">
        <f>BM29*$AN$23</f>
        <v>23.474</v>
      </c>
      <c r="BO29" s="498">
        <f t="shared" si="27"/>
        <v>0</v>
      </c>
      <c r="BP29" s="498">
        <f t="shared" si="28"/>
        <v>0</v>
      </c>
      <c r="BQ29" s="518">
        <f t="shared" si="29"/>
        <v>19.553841999999996</v>
      </c>
      <c r="BR29" s="498">
        <f t="shared" si="30"/>
        <v>0</v>
      </c>
      <c r="BS29" s="499">
        <f t="shared" si="31"/>
        <v>0</v>
      </c>
      <c r="BT29" s="496">
        <f t="shared" si="32"/>
        <v>23.473999999999997</v>
      </c>
      <c r="BU29" s="497">
        <f t="shared" si="17"/>
        <v>0</v>
      </c>
      <c r="BV29" s="502">
        <f t="shared" si="18"/>
        <v>0</v>
      </c>
    </row>
    <row r="30" spans="3:78" ht="12.75" customHeight="1">
      <c r="C30" s="133"/>
      <c r="D30" s="133"/>
      <c r="E30" s="136" t="str">
        <f>+Processes!O11</f>
        <v>AGRWCH</v>
      </c>
      <c r="F30" s="156"/>
      <c r="G30" s="288"/>
      <c r="H30" s="288"/>
      <c r="I30" s="288"/>
      <c r="J30" s="288"/>
      <c r="K30" s="288"/>
      <c r="L30" s="288"/>
      <c r="M30" s="288"/>
      <c r="N30" s="288"/>
      <c r="O30" s="288"/>
      <c r="P30" s="289">
        <f t="shared" si="2"/>
        <v>0</v>
      </c>
      <c r="Q30" s="289">
        <f t="shared" si="3"/>
        <v>0</v>
      </c>
      <c r="R30" s="289">
        <f t="shared" si="4"/>
        <v>0</v>
      </c>
      <c r="S30" s="288">
        <f t="shared" si="5"/>
        <v>0</v>
      </c>
      <c r="T30" s="288">
        <f t="shared" si="6"/>
        <v>0</v>
      </c>
      <c r="U30" s="288">
        <f t="shared" si="7"/>
        <v>0</v>
      </c>
      <c r="V30" s="288" t="str">
        <f>IF(S30&gt;0,0.001,"")</f>
        <v/>
      </c>
      <c r="W30" s="306">
        <f>$K$146</f>
        <v>0.83299999999999996</v>
      </c>
      <c r="X30" s="459">
        <f>$W$29</f>
        <v>0.83299999999999996</v>
      </c>
      <c r="Y30" s="459">
        <f>$W$29</f>
        <v>0.83299999999999996</v>
      </c>
      <c r="Z30" s="151"/>
      <c r="AA30" s="343"/>
      <c r="AB30" s="250"/>
      <c r="AC30" s="241">
        <f>1-AC29</f>
        <v>0.5</v>
      </c>
      <c r="AD30" s="286">
        <f>1-AD29</f>
        <v>0.5</v>
      </c>
      <c r="AE30" s="245">
        <v>5</v>
      </c>
      <c r="AF30" s="257"/>
      <c r="AG30" s="217">
        <f t="shared" si="9"/>
        <v>0</v>
      </c>
      <c r="AH30" s="217">
        <f t="shared" si="10"/>
        <v>0</v>
      </c>
      <c r="AI30" s="217">
        <f t="shared" si="11"/>
        <v>0</v>
      </c>
      <c r="AK30" s="316"/>
      <c r="AL30" s="495" t="s">
        <v>106</v>
      </c>
      <c r="AM30" s="496"/>
      <c r="AN30" s="497"/>
      <c r="AO30" s="498"/>
      <c r="AP30" s="498"/>
      <c r="AQ30" s="518">
        <f t="shared" si="21"/>
        <v>0</v>
      </c>
      <c r="AR30" s="498">
        <f t="shared" si="22"/>
        <v>0</v>
      </c>
      <c r="AS30" s="499">
        <f t="shared" si="23"/>
        <v>0</v>
      </c>
      <c r="AT30" s="496"/>
      <c r="AU30" s="497"/>
      <c r="AV30" s="502"/>
      <c r="AW30" s="257"/>
      <c r="AX30" s="316"/>
      <c r="AY30" s="495" t="s">
        <v>106</v>
      </c>
      <c r="AZ30" s="496"/>
      <c r="BA30" s="497"/>
      <c r="BB30" s="498"/>
      <c r="BC30" s="498"/>
      <c r="BD30" s="496">
        <f t="shared" si="24"/>
        <v>0</v>
      </c>
      <c r="BE30" s="497">
        <f t="shared" si="25"/>
        <v>0</v>
      </c>
      <c r="BF30" s="502">
        <f t="shared" si="26"/>
        <v>0</v>
      </c>
      <c r="BG30" s="496">
        <f t="shared" si="14"/>
        <v>0</v>
      </c>
      <c r="BH30" s="497">
        <f t="shared" si="15"/>
        <v>0</v>
      </c>
      <c r="BI30" s="502">
        <f t="shared" si="16"/>
        <v>0</v>
      </c>
      <c r="BJ30" s="257"/>
      <c r="BK30" s="316"/>
      <c r="BL30" s="495" t="s">
        <v>106</v>
      </c>
      <c r="BM30" s="496"/>
      <c r="BN30" s="497"/>
      <c r="BO30" s="498"/>
      <c r="BP30" s="498"/>
      <c r="BQ30" s="518">
        <f t="shared" si="29"/>
        <v>0</v>
      </c>
      <c r="BR30" s="498">
        <f t="shared" si="30"/>
        <v>0</v>
      </c>
      <c r="BS30" s="499">
        <f t="shared" si="31"/>
        <v>0</v>
      </c>
      <c r="BT30" s="496">
        <f t="shared" si="32"/>
        <v>0</v>
      </c>
      <c r="BU30" s="497">
        <f t="shared" si="17"/>
        <v>0</v>
      </c>
      <c r="BV30" s="502">
        <f t="shared" si="18"/>
        <v>0</v>
      </c>
      <c r="BY30" s="340"/>
      <c r="BZ30" s="340"/>
    </row>
    <row r="31" spans="3:78" ht="12.75" customHeight="1">
      <c r="C31" s="133" t="str">
        <f ca="1">+IF(OFFSET(Processes!B12,$D$11,0)="*","*",OFFSET(Processes!D12,$D$11,0))</f>
        <v>AGRPHBBGAE1</v>
      </c>
      <c r="D31" s="133" t="str">
        <f ca="1">+OFFSET(Processes!E12,$D$11,0)</f>
        <v>Agriculture Heat Medium Temp. Boiler - Biogas Existing 1</v>
      </c>
      <c r="E31" s="136" t="str">
        <f>+Processes!O12</f>
        <v>AGRBGA</v>
      </c>
      <c r="F31" s="136" t="str">
        <f>Commodities!$D$6</f>
        <v>AGDPH</v>
      </c>
      <c r="G31" s="289">
        <f t="shared" ref="G31:I35" si="34">AN31/($Z31*$AA31)*G$21*W31</f>
        <v>876.73421551088256</v>
      </c>
      <c r="H31" s="289">
        <f t="shared" si="34"/>
        <v>0</v>
      </c>
      <c r="I31" s="289">
        <f t="shared" si="34"/>
        <v>0</v>
      </c>
      <c r="J31" s="289">
        <f t="shared" ref="J31:L35" si="35">BA31/($Z31*$AA31)*J$21*W31</f>
        <v>0</v>
      </c>
      <c r="K31" s="289">
        <f t="shared" si="35"/>
        <v>0</v>
      </c>
      <c r="L31" s="289">
        <f t="shared" si="35"/>
        <v>0</v>
      </c>
      <c r="M31" s="289">
        <f t="shared" ref="M31:O35" si="36">BN31/($Z31*$AA31)*M$21*W31</f>
        <v>690.75498013698632</v>
      </c>
      <c r="N31" s="289">
        <f t="shared" si="36"/>
        <v>0</v>
      </c>
      <c r="O31" s="289">
        <f t="shared" si="36"/>
        <v>0</v>
      </c>
      <c r="P31" s="289">
        <f t="shared" si="2"/>
        <v>690.75498013698632</v>
      </c>
      <c r="Q31" s="289">
        <f t="shared" si="3"/>
        <v>0</v>
      </c>
      <c r="R31" s="289">
        <f t="shared" si="4"/>
        <v>0</v>
      </c>
      <c r="S31" s="289">
        <f t="shared" si="5"/>
        <v>0</v>
      </c>
      <c r="T31" s="289">
        <f t="shared" si="6"/>
        <v>0</v>
      </c>
      <c r="U31" s="289">
        <f t="shared" si="7"/>
        <v>0</v>
      </c>
      <c r="V31" s="289">
        <v>5</v>
      </c>
      <c r="W31" s="306">
        <f>J146</f>
        <v>0.99960000000000004</v>
      </c>
      <c r="X31" s="459">
        <f t="shared" ref="X31:Y34" si="37">W31</f>
        <v>0.99960000000000004</v>
      </c>
      <c r="Y31" s="459">
        <f t="shared" si="37"/>
        <v>0.99960000000000004</v>
      </c>
      <c r="Z31" s="153">
        <f t="shared" ref="Z31:Z35" si="38">3.6*8760/1000000</f>
        <v>3.1536000000000002E-2</v>
      </c>
      <c r="AA31" s="343">
        <f>$AA$26</f>
        <v>0.5</v>
      </c>
      <c r="AB31" s="250">
        <v>20</v>
      </c>
      <c r="AC31" s="241"/>
      <c r="AD31" s="241"/>
      <c r="AE31" s="245"/>
      <c r="AF31" s="257"/>
      <c r="AG31" s="217">
        <f t="shared" si="9"/>
        <v>13.816060999999999</v>
      </c>
      <c r="AH31" s="217">
        <f t="shared" si="10"/>
        <v>0</v>
      </c>
      <c r="AI31" s="217">
        <f t="shared" si="11"/>
        <v>10.788300000000001</v>
      </c>
      <c r="AK31" s="260"/>
      <c r="AL31" s="495" t="s">
        <v>100</v>
      </c>
      <c r="AM31" s="496">
        <f>J77/1000</f>
        <v>13.816060999999999</v>
      </c>
      <c r="AN31" s="497">
        <f t="shared" ref="AN31:AN42" si="39">AM31*$AN$23</f>
        <v>13.816060999999999</v>
      </c>
      <c r="AO31" s="498">
        <f t="shared" ref="AO31:AO33" si="40">AM31*$AO$23</f>
        <v>0</v>
      </c>
      <c r="AP31" s="498">
        <f t="shared" ref="AP31:AP36" si="41">AM31*$AP$23</f>
        <v>0</v>
      </c>
      <c r="AQ31" s="518">
        <f t="shared" si="21"/>
        <v>13.810534575599998</v>
      </c>
      <c r="AR31" s="498">
        <f t="shared" si="22"/>
        <v>0</v>
      </c>
      <c r="AS31" s="499">
        <f>IFERROR(I31*$Z31*$AA31/I$21,0)</f>
        <v>0</v>
      </c>
      <c r="AT31" s="496">
        <f t="shared" ref="AT31:AV34" si="42">IFERROR(AQ31/W31,0)</f>
        <v>13.816060999999998</v>
      </c>
      <c r="AU31" s="497">
        <f t="shared" si="42"/>
        <v>0</v>
      </c>
      <c r="AV31" s="502">
        <f t="shared" si="42"/>
        <v>0</v>
      </c>
      <c r="AW31" s="257"/>
      <c r="AX31" s="260"/>
      <c r="AY31" s="495" t="s">
        <v>100</v>
      </c>
      <c r="AZ31" s="496">
        <f>J102/1000</f>
        <v>13.2966</v>
      </c>
      <c r="BA31" s="497">
        <f>DE31*$AN$23</f>
        <v>0</v>
      </c>
      <c r="BB31" s="498">
        <f t="shared" ref="BB31:BB39" si="43">DE31*$BB$23</f>
        <v>0</v>
      </c>
      <c r="BC31" s="498">
        <f t="shared" ref="BC31:BC39" si="44">DE31*$BC$23</f>
        <v>0</v>
      </c>
      <c r="BD31" s="496">
        <f t="shared" si="24"/>
        <v>0</v>
      </c>
      <c r="BE31" s="497">
        <f t="shared" si="25"/>
        <v>0</v>
      </c>
      <c r="BF31" s="502">
        <f t="shared" si="26"/>
        <v>0</v>
      </c>
      <c r="BG31" s="496">
        <f t="shared" si="14"/>
        <v>0</v>
      </c>
      <c r="BH31" s="497">
        <f t="shared" si="15"/>
        <v>0</v>
      </c>
      <c r="BI31" s="502">
        <f t="shared" si="16"/>
        <v>0</v>
      </c>
      <c r="BJ31" s="257"/>
      <c r="BK31" s="260"/>
      <c r="BL31" s="495" t="s">
        <v>100</v>
      </c>
      <c r="BM31" s="496">
        <f>J127/1000</f>
        <v>10.7883</v>
      </c>
      <c r="BN31" s="497">
        <f>BM31*$AN$23</f>
        <v>10.7883</v>
      </c>
      <c r="BO31" s="498">
        <f>BM31*$BB$23</f>
        <v>0</v>
      </c>
      <c r="BP31" s="498">
        <f>BM31*$BC$23</f>
        <v>0</v>
      </c>
      <c r="BQ31" s="518">
        <f t="shared" si="29"/>
        <v>10.783984680000001</v>
      </c>
      <c r="BR31" s="498">
        <f t="shared" si="30"/>
        <v>0</v>
      </c>
      <c r="BS31" s="499">
        <f t="shared" si="31"/>
        <v>0</v>
      </c>
      <c r="BT31" s="496">
        <f t="shared" si="32"/>
        <v>10.788300000000001</v>
      </c>
      <c r="BU31" s="497">
        <f t="shared" si="17"/>
        <v>0</v>
      </c>
      <c r="BV31" s="502">
        <f t="shared" si="18"/>
        <v>0</v>
      </c>
      <c r="BX31" s="339"/>
      <c r="BY31" s="339"/>
      <c r="BZ31" s="339"/>
    </row>
    <row r="32" spans="3:78" ht="12.75" customHeight="1">
      <c r="C32" s="133" t="str">
        <f ca="1">+IF(OFFSET(Processes!B13,$D$11,0)="*","*",OFFSET(Processes!D13,$D$11,0))</f>
        <v>AGRPHBHFOE1</v>
      </c>
      <c r="D32" s="133" t="str">
        <f ca="1">+OFFSET(Processes!E13,$D$11,0)</f>
        <v>Agriculture Heat Medium Temp. Boiler - Heavy Fuel Oil Existing 1</v>
      </c>
      <c r="E32" s="136" t="str">
        <f>+Processes!O13</f>
        <v>AGRHFO</v>
      </c>
      <c r="F32" s="136" t="str">
        <f>Commodities!$D$6</f>
        <v>AGDPH</v>
      </c>
      <c r="G32" s="289">
        <f t="shared" si="34"/>
        <v>0</v>
      </c>
      <c r="H32" s="289">
        <f t="shared" si="34"/>
        <v>0</v>
      </c>
      <c r="I32" s="289">
        <f t="shared" si="34"/>
        <v>0</v>
      </c>
      <c r="J32" s="289">
        <f t="shared" si="35"/>
        <v>0</v>
      </c>
      <c r="K32" s="289">
        <f t="shared" si="35"/>
        <v>0</v>
      </c>
      <c r="L32" s="289">
        <f t="shared" si="35"/>
        <v>0</v>
      </c>
      <c r="M32" s="289">
        <f t="shared" si="36"/>
        <v>0</v>
      </c>
      <c r="N32" s="289">
        <f t="shared" si="36"/>
        <v>0</v>
      </c>
      <c r="O32" s="289">
        <f t="shared" si="36"/>
        <v>0</v>
      </c>
      <c r="P32" s="289">
        <f t="shared" si="2"/>
        <v>0</v>
      </c>
      <c r="Q32" s="289">
        <f t="shared" si="3"/>
        <v>0</v>
      </c>
      <c r="R32" s="289">
        <f t="shared" si="4"/>
        <v>0</v>
      </c>
      <c r="S32" s="289">
        <f t="shared" si="5"/>
        <v>0</v>
      </c>
      <c r="T32" s="289">
        <f t="shared" si="6"/>
        <v>0</v>
      </c>
      <c r="U32" s="289">
        <f t="shared" si="7"/>
        <v>0</v>
      </c>
      <c r="V32" s="289">
        <v>5</v>
      </c>
      <c r="W32" s="306">
        <f>E146</f>
        <v>0.93099999999999994</v>
      </c>
      <c r="X32" s="459">
        <f t="shared" si="37"/>
        <v>0.93099999999999994</v>
      </c>
      <c r="Y32" s="459">
        <f t="shared" si="37"/>
        <v>0.93099999999999994</v>
      </c>
      <c r="Z32" s="153">
        <f t="shared" si="38"/>
        <v>3.1536000000000002E-2</v>
      </c>
      <c r="AA32" s="343">
        <f>$AA$26</f>
        <v>0.5</v>
      </c>
      <c r="AB32" s="250">
        <v>20</v>
      </c>
      <c r="AC32" s="241"/>
      <c r="AD32" s="241"/>
      <c r="AE32" s="245"/>
      <c r="AF32" s="257"/>
      <c r="AG32" s="217">
        <f t="shared" si="9"/>
        <v>0</v>
      </c>
      <c r="AH32" s="217">
        <f t="shared" si="10"/>
        <v>0</v>
      </c>
      <c r="AI32" s="217">
        <f t="shared" si="11"/>
        <v>0</v>
      </c>
      <c r="AK32" s="260"/>
      <c r="AL32" s="495" t="s">
        <v>101</v>
      </c>
      <c r="AM32" s="496">
        <f>E77/1000</f>
        <v>0</v>
      </c>
      <c r="AN32" s="497">
        <f t="shared" si="39"/>
        <v>0</v>
      </c>
      <c r="AO32" s="498">
        <f>AM32*$AO$23</f>
        <v>0</v>
      </c>
      <c r="AP32" s="498">
        <f t="shared" si="41"/>
        <v>0</v>
      </c>
      <c r="AQ32" s="518">
        <f t="shared" si="21"/>
        <v>0</v>
      </c>
      <c r="AR32" s="498">
        <f t="shared" si="22"/>
        <v>0</v>
      </c>
      <c r="AS32" s="499">
        <f t="shared" si="23"/>
        <v>0</v>
      </c>
      <c r="AT32" s="496">
        <f t="shared" si="42"/>
        <v>0</v>
      </c>
      <c r="AU32" s="497">
        <f t="shared" si="42"/>
        <v>0</v>
      </c>
      <c r="AV32" s="502">
        <f t="shared" si="42"/>
        <v>0</v>
      </c>
      <c r="AW32" s="257"/>
      <c r="AX32" s="260"/>
      <c r="AY32" s="495" t="s">
        <v>101</v>
      </c>
      <c r="AZ32" s="496">
        <f>E102/1000</f>
        <v>0</v>
      </c>
      <c r="BA32" s="497">
        <f>DE32*$AN$23</f>
        <v>0</v>
      </c>
      <c r="BB32" s="498">
        <f t="shared" si="43"/>
        <v>0</v>
      </c>
      <c r="BC32" s="498">
        <f t="shared" si="44"/>
        <v>0</v>
      </c>
      <c r="BD32" s="496">
        <f>IFERROR(J32*$Z32*AA32/J$21,0)</f>
        <v>0</v>
      </c>
      <c r="BE32" s="497">
        <f t="shared" ref="BE32" si="45">IFERROR(K32*$Z32*AA32/K$21,0)</f>
        <v>0</v>
      </c>
      <c r="BF32" s="502">
        <f>IFERROR(L32*$Z32*AA32/L$21,0)</f>
        <v>0</v>
      </c>
      <c r="BG32" s="496">
        <f t="shared" si="14"/>
        <v>0</v>
      </c>
      <c r="BH32" s="497">
        <f t="shared" si="15"/>
        <v>0</v>
      </c>
      <c r="BI32" s="502">
        <f t="shared" si="16"/>
        <v>0</v>
      </c>
      <c r="BJ32" s="257"/>
      <c r="BK32" s="260"/>
      <c r="BL32" s="495" t="s">
        <v>101</v>
      </c>
      <c r="BM32" s="496">
        <f>E127/1000</f>
        <v>0</v>
      </c>
      <c r="BN32" s="497">
        <f>BM32*$AN$23</f>
        <v>0</v>
      </c>
      <c r="BO32" s="498">
        <f t="shared" ref="BO32:BO62" si="46">BM32*$BB$23</f>
        <v>0</v>
      </c>
      <c r="BP32" s="498">
        <f t="shared" ref="BP32:BP62" si="47">BM32*$BC$23</f>
        <v>0</v>
      </c>
      <c r="BQ32" s="518">
        <f t="shared" si="29"/>
        <v>0</v>
      </c>
      <c r="BR32" s="498">
        <f t="shared" si="30"/>
        <v>0</v>
      </c>
      <c r="BS32" s="499">
        <f t="shared" si="31"/>
        <v>0</v>
      </c>
      <c r="BT32" s="496">
        <f t="shared" si="32"/>
        <v>0</v>
      </c>
      <c r="BU32" s="497">
        <f t="shared" si="17"/>
        <v>0</v>
      </c>
      <c r="BV32" s="502">
        <f t="shared" si="18"/>
        <v>0</v>
      </c>
      <c r="BX32" s="339"/>
      <c r="BY32" s="339"/>
      <c r="BZ32" s="339"/>
    </row>
    <row r="33" spans="3:78" ht="12.75" customHeight="1">
      <c r="C33" s="133" t="str">
        <f ca="1">+IF(OFFSET(Processes!B14,$D$11,0)="*","*",OFFSET(Processes!D14,$D$11,0))</f>
        <v>AGRPHBLPGE1</v>
      </c>
      <c r="D33" s="133" t="str">
        <f ca="1">+OFFSET(Processes!E14,$D$11,0)</f>
        <v>Agriculture Heat Medium Temp. Boiler - Liquified Petroleum Gas Existing 1</v>
      </c>
      <c r="E33" s="136" t="str">
        <f>+Processes!O14</f>
        <v>AGRLPG</v>
      </c>
      <c r="F33" s="136" t="str">
        <f>Commodities!$D$6</f>
        <v>AGDPH</v>
      </c>
      <c r="G33" s="289">
        <f t="shared" si="34"/>
        <v>0</v>
      </c>
      <c r="H33" s="289">
        <f t="shared" si="34"/>
        <v>0</v>
      </c>
      <c r="I33" s="289">
        <f t="shared" si="34"/>
        <v>0</v>
      </c>
      <c r="J33" s="289">
        <f t="shared" si="35"/>
        <v>0</v>
      </c>
      <c r="K33" s="289">
        <f t="shared" si="35"/>
        <v>0</v>
      </c>
      <c r="L33" s="289">
        <f t="shared" si="35"/>
        <v>0</v>
      </c>
      <c r="M33" s="289">
        <f t="shared" si="36"/>
        <v>141.34488063356167</v>
      </c>
      <c r="N33" s="289">
        <f t="shared" si="36"/>
        <v>0</v>
      </c>
      <c r="O33" s="289">
        <f t="shared" si="36"/>
        <v>0</v>
      </c>
      <c r="P33" s="289">
        <f t="shared" si="2"/>
        <v>141.34488063356167</v>
      </c>
      <c r="Q33" s="289">
        <f t="shared" si="3"/>
        <v>0</v>
      </c>
      <c r="R33" s="289">
        <f t="shared" si="4"/>
        <v>0</v>
      </c>
      <c r="S33" s="289">
        <f t="shared" si="5"/>
        <v>0</v>
      </c>
      <c r="T33" s="289">
        <f t="shared" si="6"/>
        <v>0</v>
      </c>
      <c r="U33" s="289">
        <f t="shared" si="7"/>
        <v>0</v>
      </c>
      <c r="V33" s="289">
        <v>5</v>
      </c>
      <c r="W33" s="306">
        <f>H146</f>
        <v>0.99960000000000004</v>
      </c>
      <c r="X33" s="459">
        <f t="shared" si="37"/>
        <v>0.99960000000000004</v>
      </c>
      <c r="Y33" s="459">
        <f t="shared" si="37"/>
        <v>0.99960000000000004</v>
      </c>
      <c r="Z33" s="153">
        <f t="shared" si="38"/>
        <v>3.1536000000000002E-2</v>
      </c>
      <c r="AA33" s="343">
        <f>$AA$26</f>
        <v>0.5</v>
      </c>
      <c r="AB33" s="250">
        <v>20</v>
      </c>
      <c r="AC33" s="241"/>
      <c r="AD33" s="241"/>
      <c r="AE33" s="245"/>
      <c r="AF33" s="257"/>
      <c r="AG33" s="217">
        <f t="shared" si="9"/>
        <v>0</v>
      </c>
      <c r="AH33" s="217">
        <f t="shared" si="10"/>
        <v>0</v>
      </c>
      <c r="AI33" s="217">
        <f t="shared" si="11"/>
        <v>2.2075425000000002</v>
      </c>
      <c r="AK33" s="260"/>
      <c r="AL33" s="495" t="s">
        <v>53</v>
      </c>
      <c r="AM33" s="496">
        <f>H77/1000</f>
        <v>0</v>
      </c>
      <c r="AN33" s="497">
        <f t="shared" si="39"/>
        <v>0</v>
      </c>
      <c r="AO33" s="498">
        <f t="shared" si="40"/>
        <v>0</v>
      </c>
      <c r="AP33" s="498">
        <f t="shared" si="41"/>
        <v>0</v>
      </c>
      <c r="AQ33" s="518">
        <f t="shared" si="21"/>
        <v>0</v>
      </c>
      <c r="AR33" s="498">
        <f t="shared" si="22"/>
        <v>0</v>
      </c>
      <c r="AS33" s="499">
        <f t="shared" si="23"/>
        <v>0</v>
      </c>
      <c r="AT33" s="496">
        <f t="shared" si="42"/>
        <v>0</v>
      </c>
      <c r="AU33" s="497">
        <f t="shared" si="42"/>
        <v>0</v>
      </c>
      <c r="AV33" s="502">
        <f t="shared" si="42"/>
        <v>0</v>
      </c>
      <c r="AW33" s="257"/>
      <c r="AX33" s="260"/>
      <c r="AY33" s="495" t="s">
        <v>53</v>
      </c>
      <c r="AZ33" s="496">
        <f>H102/1000</f>
        <v>0</v>
      </c>
      <c r="BA33" s="497">
        <f>DE33*$AN$23</f>
        <v>0</v>
      </c>
      <c r="BB33" s="498">
        <f t="shared" si="43"/>
        <v>0</v>
      </c>
      <c r="BC33" s="498">
        <f t="shared" si="44"/>
        <v>0</v>
      </c>
      <c r="BD33" s="496">
        <f>IFERROR(J33*$Z33*AA33/J$21,0)</f>
        <v>0</v>
      </c>
      <c r="BE33" s="497">
        <f t="shared" ref="BE33" si="48">IFERROR(K33*$Z33*AA33/K$21,0)</f>
        <v>0</v>
      </c>
      <c r="BF33" s="502">
        <f>IFERROR(L33*$Z33*AA33/L$21,0)</f>
        <v>0</v>
      </c>
      <c r="BG33" s="496">
        <f t="shared" si="14"/>
        <v>0</v>
      </c>
      <c r="BH33" s="497">
        <f t="shared" si="15"/>
        <v>0</v>
      </c>
      <c r="BI33" s="502">
        <f t="shared" si="16"/>
        <v>0</v>
      </c>
      <c r="BJ33" s="257"/>
      <c r="BK33" s="260"/>
      <c r="BL33" s="495" t="s">
        <v>53</v>
      </c>
      <c r="BM33" s="496">
        <f>H127/1000</f>
        <v>2.2075425000000002</v>
      </c>
      <c r="BN33" s="497">
        <f>BM33*$AN$23</f>
        <v>2.2075425000000002</v>
      </c>
      <c r="BO33" s="498">
        <f t="shared" si="46"/>
        <v>0</v>
      </c>
      <c r="BP33" s="498">
        <f t="shared" si="47"/>
        <v>0</v>
      </c>
      <c r="BQ33" s="518">
        <f t="shared" si="29"/>
        <v>2.2066594830000006</v>
      </c>
      <c r="BR33" s="498">
        <f t="shared" si="30"/>
        <v>0</v>
      </c>
      <c r="BS33" s="499">
        <f t="shared" si="31"/>
        <v>0</v>
      </c>
      <c r="BT33" s="496">
        <f t="shared" si="32"/>
        <v>2.2075425000000006</v>
      </c>
      <c r="BU33" s="497">
        <f t="shared" si="17"/>
        <v>0</v>
      </c>
      <c r="BV33" s="502">
        <f t="shared" si="18"/>
        <v>0</v>
      </c>
      <c r="BX33" s="339"/>
      <c r="BY33" s="339"/>
    </row>
    <row r="34" spans="3:78" ht="12.75" customHeight="1">
      <c r="C34" s="133" t="str">
        <f ca="1">+IF(OFFSET(Processes!B15,$D$11,0)="*","*",OFFSET(Processes!D15,$D$11,0))</f>
        <v>AGRPHBWSTE1</v>
      </c>
      <c r="D34" s="133" t="str">
        <f ca="1">+OFFSET(Processes!E15,$D$11,0)</f>
        <v>Agriculture Heat Medium Temp. Boiler - Waste Existing 1</v>
      </c>
      <c r="E34" s="136" t="str">
        <f>+Processes!O15</f>
        <v>AGRWST</v>
      </c>
      <c r="F34" s="136" t="str">
        <f>Commodities!$D$6</f>
        <v>AGDPH</v>
      </c>
      <c r="G34" s="289">
        <f t="shared" si="34"/>
        <v>0</v>
      </c>
      <c r="H34" s="289">
        <f t="shared" si="34"/>
        <v>0</v>
      </c>
      <c r="I34" s="289">
        <f t="shared" si="34"/>
        <v>0</v>
      </c>
      <c r="J34" s="289">
        <f t="shared" si="35"/>
        <v>0</v>
      </c>
      <c r="K34" s="289">
        <f t="shared" si="35"/>
        <v>0</v>
      </c>
      <c r="L34" s="289">
        <f t="shared" si="35"/>
        <v>0</v>
      </c>
      <c r="M34" s="289">
        <f t="shared" si="36"/>
        <v>0</v>
      </c>
      <c r="N34" s="289">
        <f t="shared" si="36"/>
        <v>0</v>
      </c>
      <c r="O34" s="289">
        <f t="shared" si="36"/>
        <v>0</v>
      </c>
      <c r="P34" s="289">
        <f t="shared" si="2"/>
        <v>0</v>
      </c>
      <c r="Q34" s="289">
        <f t="shared" si="3"/>
        <v>0</v>
      </c>
      <c r="R34" s="289">
        <f t="shared" si="4"/>
        <v>0</v>
      </c>
      <c r="S34" s="289">
        <f t="shared" si="5"/>
        <v>0</v>
      </c>
      <c r="T34" s="289">
        <f t="shared" si="6"/>
        <v>0</v>
      </c>
      <c r="U34" s="289">
        <f t="shared" si="7"/>
        <v>0</v>
      </c>
      <c r="V34" s="289">
        <v>5</v>
      </c>
      <c r="W34" s="306">
        <f>L146</f>
        <v>0.93099999999999994</v>
      </c>
      <c r="X34" s="459">
        <f t="shared" si="37"/>
        <v>0.93099999999999994</v>
      </c>
      <c r="Y34" s="459">
        <f t="shared" si="37"/>
        <v>0.93099999999999994</v>
      </c>
      <c r="Z34" s="153">
        <f t="shared" si="38"/>
        <v>3.1536000000000002E-2</v>
      </c>
      <c r="AA34" s="343">
        <f>$AA$26</f>
        <v>0.5</v>
      </c>
      <c r="AB34" s="250">
        <v>20</v>
      </c>
      <c r="AC34" s="241"/>
      <c r="AD34" s="241"/>
      <c r="AE34" s="245"/>
      <c r="AF34" s="257"/>
      <c r="AG34" s="217">
        <f t="shared" si="9"/>
        <v>0</v>
      </c>
      <c r="AH34" s="217">
        <f t="shared" si="10"/>
        <v>0</v>
      </c>
      <c r="AI34" s="217">
        <f t="shared" si="11"/>
        <v>0</v>
      </c>
      <c r="AK34" s="260"/>
      <c r="AL34" s="495" t="s">
        <v>102</v>
      </c>
      <c r="AM34" s="496">
        <f>$L77/1000</f>
        <v>0</v>
      </c>
      <c r="AN34" s="497">
        <f t="shared" si="39"/>
        <v>0</v>
      </c>
      <c r="AO34" s="498">
        <f t="shared" ref="AO34:AO36" si="49">AM34*$AO$23</f>
        <v>0</v>
      </c>
      <c r="AP34" s="498">
        <f t="shared" si="41"/>
        <v>0</v>
      </c>
      <c r="AQ34" s="518">
        <f t="shared" si="21"/>
        <v>0</v>
      </c>
      <c r="AR34" s="498">
        <f t="shared" si="22"/>
        <v>0</v>
      </c>
      <c r="AS34" s="499">
        <f t="shared" si="23"/>
        <v>0</v>
      </c>
      <c r="AT34" s="496">
        <f t="shared" si="42"/>
        <v>0</v>
      </c>
      <c r="AU34" s="497">
        <f t="shared" si="42"/>
        <v>0</v>
      </c>
      <c r="AV34" s="502">
        <f t="shared" si="42"/>
        <v>0</v>
      </c>
      <c r="AW34" s="257"/>
      <c r="AX34" s="260"/>
      <c r="AY34" s="495" t="s">
        <v>102</v>
      </c>
      <c r="AZ34" s="496">
        <f>$L102/1000</f>
        <v>0</v>
      </c>
      <c r="BA34" s="497">
        <f>DE34*$AN$23</f>
        <v>0</v>
      </c>
      <c r="BB34" s="498">
        <f t="shared" si="43"/>
        <v>0</v>
      </c>
      <c r="BC34" s="498">
        <f t="shared" si="44"/>
        <v>0</v>
      </c>
      <c r="BD34" s="496">
        <f t="shared" si="24"/>
        <v>0</v>
      </c>
      <c r="BE34" s="497">
        <f t="shared" si="25"/>
        <v>0</v>
      </c>
      <c r="BF34" s="502">
        <f t="shared" si="26"/>
        <v>0</v>
      </c>
      <c r="BG34" s="496">
        <f t="shared" si="14"/>
        <v>0</v>
      </c>
      <c r="BH34" s="497">
        <f t="shared" si="15"/>
        <v>0</v>
      </c>
      <c r="BI34" s="502">
        <f t="shared" si="16"/>
        <v>0</v>
      </c>
      <c r="BJ34" s="257"/>
      <c r="BK34" s="260"/>
      <c r="BL34" s="495" t="s">
        <v>102</v>
      </c>
      <c r="BM34" s="496">
        <f>$L127/1000</f>
        <v>0</v>
      </c>
      <c r="BN34" s="497">
        <f>BM34*$AN$23</f>
        <v>0</v>
      </c>
      <c r="BO34" s="498">
        <f t="shared" si="46"/>
        <v>0</v>
      </c>
      <c r="BP34" s="498">
        <f t="shared" si="47"/>
        <v>0</v>
      </c>
      <c r="BQ34" s="518">
        <f t="shared" si="29"/>
        <v>0</v>
      </c>
      <c r="BR34" s="498">
        <f t="shared" si="30"/>
        <v>0</v>
      </c>
      <c r="BS34" s="499">
        <f t="shared" si="31"/>
        <v>0</v>
      </c>
      <c r="BT34" s="496">
        <f t="shared" si="32"/>
        <v>0</v>
      </c>
      <c r="BU34" s="497">
        <f t="shared" si="17"/>
        <v>0</v>
      </c>
      <c r="BV34" s="502">
        <f t="shared" si="18"/>
        <v>0</v>
      </c>
    </row>
    <row r="35" spans="3:78" ht="12.75" customHeight="1">
      <c r="C35" s="157" t="str">
        <f ca="1">+IF(OFFSET(Processes!B16,$D$11,0)="*","*",OFFSET(Processes!D16,$D$11,0))</f>
        <v>AGRPHBHETE1</v>
      </c>
      <c r="D35" s="133" t="str">
        <f ca="1">+OFFSET(Processes!E16,$D$11,0)</f>
        <v>Agriculture Heat Medium Temp. Boiler - Dist. Heat Existing 1</v>
      </c>
      <c r="E35" s="136" t="str">
        <f>+Processes!O16</f>
        <v>AGRHCE</v>
      </c>
      <c r="F35" s="136" t="str">
        <f>Commodities!$D$6</f>
        <v>AGDPH</v>
      </c>
      <c r="G35" s="288">
        <f t="shared" si="34"/>
        <v>0</v>
      </c>
      <c r="H35" s="288">
        <f t="shared" si="34"/>
        <v>0</v>
      </c>
      <c r="I35" s="288">
        <f t="shared" si="34"/>
        <v>0</v>
      </c>
      <c r="J35" s="288">
        <f t="shared" si="35"/>
        <v>0</v>
      </c>
      <c r="K35" s="288">
        <f t="shared" si="35"/>
        <v>0</v>
      </c>
      <c r="L35" s="288">
        <f t="shared" si="35"/>
        <v>0</v>
      </c>
      <c r="M35" s="288">
        <f t="shared" si="36"/>
        <v>0</v>
      </c>
      <c r="N35" s="288">
        <f t="shared" si="36"/>
        <v>0</v>
      </c>
      <c r="O35" s="288">
        <f t="shared" si="36"/>
        <v>0</v>
      </c>
      <c r="P35" s="289">
        <f t="shared" si="2"/>
        <v>0</v>
      </c>
      <c r="Q35" s="289">
        <f t="shared" si="3"/>
        <v>0</v>
      </c>
      <c r="R35" s="289">
        <f t="shared" si="4"/>
        <v>0</v>
      </c>
      <c r="S35" s="288">
        <f t="shared" si="5"/>
        <v>0</v>
      </c>
      <c r="T35" s="288">
        <f t="shared" si="6"/>
        <v>0</v>
      </c>
      <c r="U35" s="288">
        <f t="shared" si="7"/>
        <v>0</v>
      </c>
      <c r="V35" s="288">
        <v>5</v>
      </c>
      <c r="W35" s="306">
        <f>$N$146</f>
        <v>0.94079999999999997</v>
      </c>
      <c r="X35" s="459">
        <f>$W$35</f>
        <v>0.94079999999999997</v>
      </c>
      <c r="Y35" s="459">
        <f>$W$35</f>
        <v>0.94079999999999997</v>
      </c>
      <c r="Z35" s="153">
        <f t="shared" si="38"/>
        <v>3.1536000000000002E-2</v>
      </c>
      <c r="AA35" s="343">
        <f>$AA$26</f>
        <v>0.5</v>
      </c>
      <c r="AB35" s="250">
        <v>20</v>
      </c>
      <c r="AC35" s="256">
        <v>0.4</v>
      </c>
      <c r="AD35" s="286">
        <v>0.4</v>
      </c>
      <c r="AE35" s="245">
        <v>5</v>
      </c>
      <c r="AF35" s="257"/>
      <c r="AG35" s="217">
        <f t="shared" si="9"/>
        <v>0</v>
      </c>
      <c r="AH35" s="217">
        <f t="shared" si="10"/>
        <v>0</v>
      </c>
      <c r="AI35" s="217">
        <f t="shared" si="11"/>
        <v>0</v>
      </c>
      <c r="AK35" s="260"/>
      <c r="AL35" s="495" t="s">
        <v>103</v>
      </c>
      <c r="AM35" s="496">
        <f>N77/1000</f>
        <v>0</v>
      </c>
      <c r="AN35" s="497">
        <f t="shared" si="39"/>
        <v>0</v>
      </c>
      <c r="AO35" s="498">
        <f t="shared" si="49"/>
        <v>0</v>
      </c>
      <c r="AP35" s="498">
        <f t="shared" si="41"/>
        <v>0</v>
      </c>
      <c r="AQ35" s="518">
        <f t="shared" si="21"/>
        <v>0</v>
      </c>
      <c r="AR35" s="498">
        <f t="shared" si="22"/>
        <v>0</v>
      </c>
      <c r="AS35" s="499">
        <f t="shared" si="23"/>
        <v>0</v>
      </c>
      <c r="AT35" s="496">
        <f>AN35-AQ35</f>
        <v>0</v>
      </c>
      <c r="AU35" s="497">
        <f>AO35-AR35</f>
        <v>0</v>
      </c>
      <c r="AV35" s="502">
        <f>AP35-AS35</f>
        <v>0</v>
      </c>
      <c r="AW35" s="257"/>
      <c r="AX35" s="260"/>
      <c r="AY35" s="495" t="s">
        <v>103</v>
      </c>
      <c r="AZ35" s="496">
        <f>N102/1000</f>
        <v>0</v>
      </c>
      <c r="BA35" s="497">
        <f>DE35*$AN$23</f>
        <v>0</v>
      </c>
      <c r="BB35" s="498">
        <f t="shared" si="43"/>
        <v>0</v>
      </c>
      <c r="BC35" s="498">
        <f t="shared" si="44"/>
        <v>0</v>
      </c>
      <c r="BD35" s="496">
        <f t="shared" si="24"/>
        <v>0</v>
      </c>
      <c r="BE35" s="497">
        <f t="shared" si="25"/>
        <v>0</v>
      </c>
      <c r="BF35" s="502">
        <f t="shared" si="26"/>
        <v>0</v>
      </c>
      <c r="BG35" s="496">
        <f t="shared" si="14"/>
        <v>0</v>
      </c>
      <c r="BH35" s="497">
        <f t="shared" si="15"/>
        <v>0</v>
      </c>
      <c r="BI35" s="502">
        <f t="shared" si="16"/>
        <v>0</v>
      </c>
      <c r="BJ35" s="257"/>
      <c r="BK35" s="260"/>
      <c r="BL35" s="495" t="s">
        <v>103</v>
      </c>
      <c r="BM35" s="496">
        <f>N127/1000</f>
        <v>0</v>
      </c>
      <c r="BN35" s="497">
        <f>BM35*$AN$23</f>
        <v>0</v>
      </c>
      <c r="BO35" s="498">
        <f t="shared" si="46"/>
        <v>0</v>
      </c>
      <c r="BP35" s="498">
        <f t="shared" si="47"/>
        <v>0</v>
      </c>
      <c r="BQ35" s="518">
        <f t="shared" si="29"/>
        <v>0</v>
      </c>
      <c r="BR35" s="498">
        <f t="shared" si="30"/>
        <v>0</v>
      </c>
      <c r="BS35" s="499">
        <f t="shared" si="31"/>
        <v>0</v>
      </c>
      <c r="BT35" s="496">
        <f t="shared" si="32"/>
        <v>0</v>
      </c>
      <c r="BU35" s="497">
        <f t="shared" si="17"/>
        <v>0</v>
      </c>
      <c r="BV35" s="502">
        <f t="shared" si="18"/>
        <v>0</v>
      </c>
    </row>
    <row r="36" spans="3:78" ht="12.75" customHeight="1">
      <c r="C36" s="133"/>
      <c r="D36" s="133"/>
      <c r="E36" s="136" t="str">
        <f>+Processes!O17</f>
        <v>AGRHDE</v>
      </c>
      <c r="F36" s="156"/>
      <c r="G36" s="288"/>
      <c r="H36" s="288"/>
      <c r="I36" s="288"/>
      <c r="J36" s="288"/>
      <c r="K36" s="288"/>
      <c r="L36" s="288"/>
      <c r="M36" s="288"/>
      <c r="N36" s="288"/>
      <c r="O36" s="288"/>
      <c r="P36" s="289">
        <f t="shared" si="2"/>
        <v>0</v>
      </c>
      <c r="Q36" s="289">
        <f t="shared" si="3"/>
        <v>0</v>
      </c>
      <c r="R36" s="289">
        <f t="shared" si="4"/>
        <v>0</v>
      </c>
      <c r="S36" s="288">
        <f t="shared" si="5"/>
        <v>0</v>
      </c>
      <c r="T36" s="288">
        <f t="shared" si="6"/>
        <v>0</v>
      </c>
      <c r="U36" s="288">
        <f t="shared" si="7"/>
        <v>0</v>
      </c>
      <c r="V36" s="288" t="str">
        <f>IF(S36&gt;0,0.001,"")</f>
        <v/>
      </c>
      <c r="W36" s="306">
        <f>$N$146</f>
        <v>0.94079999999999997</v>
      </c>
      <c r="X36" s="459">
        <f>$W$35</f>
        <v>0.94079999999999997</v>
      </c>
      <c r="Y36" s="459">
        <f>$W$35</f>
        <v>0.94079999999999997</v>
      </c>
      <c r="Z36" s="153"/>
      <c r="AA36" s="343"/>
      <c r="AB36" s="250"/>
      <c r="AC36" s="256">
        <v>0.6</v>
      </c>
      <c r="AD36" s="286">
        <v>0.6</v>
      </c>
      <c r="AE36" s="245">
        <v>5</v>
      </c>
      <c r="AF36" s="257"/>
      <c r="AG36" s="217">
        <f t="shared" si="9"/>
        <v>0</v>
      </c>
      <c r="AH36" s="217">
        <f t="shared" si="10"/>
        <v>0</v>
      </c>
      <c r="AI36" s="217">
        <f t="shared" si="11"/>
        <v>0</v>
      </c>
      <c r="AK36" s="260"/>
      <c r="AL36" s="495" t="s">
        <v>104</v>
      </c>
      <c r="AM36" s="496"/>
      <c r="AN36" s="497">
        <f t="shared" si="39"/>
        <v>0</v>
      </c>
      <c r="AO36" s="498">
        <f t="shared" si="49"/>
        <v>0</v>
      </c>
      <c r="AP36" s="498">
        <f t="shared" si="41"/>
        <v>0</v>
      </c>
      <c r="AQ36" s="518">
        <f t="shared" si="21"/>
        <v>0</v>
      </c>
      <c r="AR36" s="498">
        <f t="shared" si="22"/>
        <v>0</v>
      </c>
      <c r="AS36" s="499">
        <f t="shared" si="23"/>
        <v>0</v>
      </c>
      <c r="AT36" s="496"/>
      <c r="AU36" s="497"/>
      <c r="AV36" s="502"/>
      <c r="AW36" s="257"/>
      <c r="AX36" s="260"/>
      <c r="AY36" s="495" t="s">
        <v>104</v>
      </c>
      <c r="AZ36" s="496"/>
      <c r="BA36" s="497"/>
      <c r="BB36" s="498">
        <f t="shared" si="43"/>
        <v>0</v>
      </c>
      <c r="BC36" s="498">
        <f t="shared" si="44"/>
        <v>0</v>
      </c>
      <c r="BD36" s="496">
        <f t="shared" si="24"/>
        <v>0</v>
      </c>
      <c r="BE36" s="497">
        <f t="shared" si="25"/>
        <v>0</v>
      </c>
      <c r="BF36" s="502">
        <f t="shared" si="26"/>
        <v>0</v>
      </c>
      <c r="BG36" s="496"/>
      <c r="BH36" s="497"/>
      <c r="BI36" s="502"/>
      <c r="BJ36" s="257"/>
      <c r="BK36" s="260"/>
      <c r="BL36" s="495" t="s">
        <v>104</v>
      </c>
      <c r="BM36" s="496"/>
      <c r="BN36" s="497"/>
      <c r="BO36" s="498">
        <f t="shared" si="46"/>
        <v>0</v>
      </c>
      <c r="BP36" s="498">
        <f t="shared" si="47"/>
        <v>0</v>
      </c>
      <c r="BQ36" s="518">
        <f t="shared" si="29"/>
        <v>0</v>
      </c>
      <c r="BR36" s="498">
        <f t="shared" si="30"/>
        <v>0</v>
      </c>
      <c r="BS36" s="499">
        <f t="shared" si="31"/>
        <v>0</v>
      </c>
      <c r="BT36" s="496"/>
      <c r="BU36" s="497"/>
      <c r="BV36" s="502"/>
    </row>
    <row r="37" spans="3:78" ht="12.75" customHeight="1">
      <c r="C37" s="135" t="str">
        <f ca="1">+IF(OFFSET(Processes!B18,$D$11,0)="*","*",OFFSET(Processes!D18,$D$11,0))</f>
        <v>AGRPHBELCE1</v>
      </c>
      <c r="D37" s="135" t="str">
        <f ca="1">+OFFSET(Processes!E18,$D$11,0)</f>
        <v>Agriculture Heat Medium Temp. Boiler - Electricity Existing 1</v>
      </c>
      <c r="E37" s="158" t="str">
        <f>+Processes!O18</f>
        <v>AGRELC</v>
      </c>
      <c r="F37" s="136" t="str">
        <f>Commodities!$D$6</f>
        <v>AGDPH</v>
      </c>
      <c r="G37" s="291">
        <f t="shared" ref="G37:I41" si="50">AN37/($Z37*$AA37)*G$21*W37</f>
        <v>322.52330460426168</v>
      </c>
      <c r="H37" s="291">
        <f t="shared" si="50"/>
        <v>0</v>
      </c>
      <c r="I37" s="291">
        <f t="shared" si="50"/>
        <v>0</v>
      </c>
      <c r="J37" s="291">
        <f>BA37/($Z37*$AA37)*J$21*W37</f>
        <v>0</v>
      </c>
      <c r="K37" s="291">
        <f t="shared" ref="J37:L41" si="51">BB37/($Z37*$AA37)*K$21*X37</f>
        <v>0</v>
      </c>
      <c r="L37" s="291">
        <f t="shared" si="51"/>
        <v>0</v>
      </c>
      <c r="M37" s="291">
        <f t="shared" ref="M37:O41" si="52">BN37/($Z37*$AA37)*M$21*W37</f>
        <v>252.96772070015217</v>
      </c>
      <c r="N37" s="291">
        <f t="shared" si="52"/>
        <v>0</v>
      </c>
      <c r="O37" s="291">
        <f t="shared" si="52"/>
        <v>0</v>
      </c>
      <c r="P37" s="291">
        <f t="shared" si="2"/>
        <v>252.96772070015217</v>
      </c>
      <c r="Q37" s="291">
        <f t="shared" si="3"/>
        <v>0</v>
      </c>
      <c r="R37" s="291">
        <f t="shared" si="4"/>
        <v>0</v>
      </c>
      <c r="S37" s="291">
        <f t="shared" si="5"/>
        <v>0</v>
      </c>
      <c r="T37" s="291">
        <f t="shared" si="6"/>
        <v>0</v>
      </c>
      <c r="U37" s="291">
        <f t="shared" si="7"/>
        <v>0</v>
      </c>
      <c r="V37" s="494">
        <v>5</v>
      </c>
      <c r="W37" s="308">
        <f>M146</f>
        <v>0.93099999999999994</v>
      </c>
      <c r="X37" s="460">
        <f t="shared" ref="X37:Y41" si="53">W37</f>
        <v>0.93099999999999994</v>
      </c>
      <c r="Y37" s="460">
        <f t="shared" si="53"/>
        <v>0.93099999999999994</v>
      </c>
      <c r="Z37" s="154">
        <f t="shared" ref="Z37:Z50" si="54">3.6*8760/1000000</f>
        <v>3.1536000000000002E-2</v>
      </c>
      <c r="AA37" s="344">
        <f>$AA$26</f>
        <v>0.5</v>
      </c>
      <c r="AB37" s="251">
        <v>20</v>
      </c>
      <c r="AC37" s="243"/>
      <c r="AD37" s="241"/>
      <c r="AE37" s="246"/>
      <c r="AF37" s="257"/>
      <c r="AG37" s="217">
        <f>((G37*Z37*AA37/W37)+(H37*Z37*AA37/X37))/$G$21</f>
        <v>5.456999999999999</v>
      </c>
      <c r="AH37" s="217">
        <f>((J37*Z37*AA37/W37)+(K37*Z37*AA37/X37))/$J$21</f>
        <v>0</v>
      </c>
      <c r="AI37" s="217">
        <f>((M37*AA37*Z37/W37)+(N37*Z37*AA37/X37))/$M$21</f>
        <v>4.242</v>
      </c>
      <c r="AK37" s="314"/>
      <c r="AL37" s="503" t="s">
        <v>61</v>
      </c>
      <c r="AM37" s="504">
        <f>M77/1000</f>
        <v>5.4569999999999999</v>
      </c>
      <c r="AN37" s="497">
        <f t="shared" si="39"/>
        <v>5.4569999999999999</v>
      </c>
      <c r="AO37" s="498">
        <f t="shared" ref="AO37:AO48" si="55">AM37*$AO$23</f>
        <v>0</v>
      </c>
      <c r="AP37" s="498">
        <f t="shared" ref="AP37:AP48" si="56">AM37*$AP$23</f>
        <v>0</v>
      </c>
      <c r="AQ37" s="518">
        <f t="shared" si="21"/>
        <v>5.0804669999999996</v>
      </c>
      <c r="AR37" s="498">
        <f t="shared" si="22"/>
        <v>0</v>
      </c>
      <c r="AS37" s="499">
        <f t="shared" si="23"/>
        <v>0</v>
      </c>
      <c r="AT37" s="504">
        <f t="shared" ref="AT37:AV41" si="57">IFERROR(AQ37/W37,0)</f>
        <v>5.4569999999999999</v>
      </c>
      <c r="AU37" s="505">
        <f t="shared" si="57"/>
        <v>0</v>
      </c>
      <c r="AV37" s="506">
        <f t="shared" si="57"/>
        <v>0</v>
      </c>
      <c r="AW37" s="257"/>
      <c r="AX37" s="314"/>
      <c r="AY37" s="503" t="s">
        <v>61</v>
      </c>
      <c r="AZ37" s="504">
        <f>M102/1000</f>
        <v>4.3789999999999996</v>
      </c>
      <c r="BA37" s="497">
        <f>DE37*$AN$23</f>
        <v>0</v>
      </c>
      <c r="BB37" s="498">
        <f t="shared" si="43"/>
        <v>0</v>
      </c>
      <c r="BC37" s="498">
        <f t="shared" si="44"/>
        <v>0</v>
      </c>
      <c r="BD37" s="504">
        <f>IFERROR(J37*$Z37*AA37/J$21,0)</f>
        <v>0</v>
      </c>
      <c r="BE37" s="505">
        <f t="shared" ref="BE37" si="58">IFERROR(K37*$Z37*AA37/K$21,0)</f>
        <v>0</v>
      </c>
      <c r="BF37" s="506">
        <f>IFERROR(L37*$Z37*AA37/L$21,0)</f>
        <v>0</v>
      </c>
      <c r="BG37" s="504">
        <f t="shared" ref="BG37:BG56" si="59">IFERROR(BD37/W37,0)</f>
        <v>0</v>
      </c>
      <c r="BH37" s="505">
        <f t="shared" ref="BH37:BH56" si="60">IFERROR(BE37/X37,0)</f>
        <v>0</v>
      </c>
      <c r="BI37" s="506">
        <f t="shared" ref="BI37:BI56" si="61">IFERROR(BF37/Y37,0)</f>
        <v>0</v>
      </c>
      <c r="BJ37" s="257"/>
      <c r="BK37" s="314"/>
      <c r="BL37" s="503" t="s">
        <v>61</v>
      </c>
      <c r="BM37" s="504">
        <f>M127/1000</f>
        <v>4.242</v>
      </c>
      <c r="BN37" s="497">
        <f>BM37*$AN$23</f>
        <v>4.242</v>
      </c>
      <c r="BO37" s="498">
        <f t="shared" si="46"/>
        <v>0</v>
      </c>
      <c r="BP37" s="498">
        <f t="shared" si="47"/>
        <v>0</v>
      </c>
      <c r="BQ37" s="518">
        <f t="shared" si="29"/>
        <v>3.9493019999999994</v>
      </c>
      <c r="BR37" s="498">
        <f t="shared" si="30"/>
        <v>0</v>
      </c>
      <c r="BS37" s="499">
        <f t="shared" si="31"/>
        <v>0</v>
      </c>
      <c r="BT37" s="504">
        <f t="shared" ref="BT37:BT56" si="62">IFERROR(BQ37/W37,0)</f>
        <v>4.242</v>
      </c>
      <c r="BU37" s="505">
        <f t="shared" ref="BU37:BU56" si="63">IFERROR(BR37/X37,0)</f>
        <v>0</v>
      </c>
      <c r="BV37" s="506">
        <f t="shared" ref="BV37:BV56" si="64">IFERROR(BS37/Y37,0)</f>
        <v>0</v>
      </c>
    </row>
    <row r="38" spans="3:78" ht="12.75" customHeight="1">
      <c r="C38" s="157" t="str">
        <f ca="1">+IF(OFFSET(Processes!B19,$D$11,0)="*","*",OFFSET(Processes!D19,$D$11,0))</f>
        <v>AGRCOBNGAE1</v>
      </c>
      <c r="D38" s="157" t="str">
        <f ca="1">+OFFSET(Processes!E19,$D$11,0)</f>
        <v>Agriculture Heat High Temp. Boiler - Nat. Gas Existing 1</v>
      </c>
      <c r="E38" s="156" t="str">
        <f>+Processes!O19</f>
        <v>AGRSNG1,AGRSNG2,AGRNGA</v>
      </c>
      <c r="F38" s="156" t="str">
        <f>Commodities!$D$7</f>
        <v>AGDCO</v>
      </c>
      <c r="G38" s="289">
        <f t="shared" si="50"/>
        <v>0</v>
      </c>
      <c r="H38" s="289">
        <f t="shared" si="50"/>
        <v>0</v>
      </c>
      <c r="I38" s="289">
        <f t="shared" si="50"/>
        <v>0</v>
      </c>
      <c r="J38" s="289">
        <f t="shared" si="51"/>
        <v>0</v>
      </c>
      <c r="K38" s="289">
        <f t="shared" si="51"/>
        <v>0</v>
      </c>
      <c r="L38" s="289">
        <f t="shared" si="51"/>
        <v>0</v>
      </c>
      <c r="M38" s="290">
        <f t="shared" si="52"/>
        <v>0</v>
      </c>
      <c r="N38" s="290">
        <f t="shared" si="52"/>
        <v>0</v>
      </c>
      <c r="O38" s="290">
        <f t="shared" si="52"/>
        <v>0</v>
      </c>
      <c r="P38" s="289">
        <f t="shared" si="2"/>
        <v>0</v>
      </c>
      <c r="Q38" s="289">
        <f t="shared" si="3"/>
        <v>0</v>
      </c>
      <c r="R38" s="289">
        <f t="shared" si="4"/>
        <v>0</v>
      </c>
      <c r="S38" s="290">
        <f t="shared" si="5"/>
        <v>0</v>
      </c>
      <c r="T38" s="290">
        <f t="shared" si="6"/>
        <v>0</v>
      </c>
      <c r="U38" s="290">
        <f t="shared" si="7"/>
        <v>0</v>
      </c>
      <c r="V38" s="290">
        <v>5</v>
      </c>
      <c r="W38" s="306">
        <f>I147</f>
        <v>0.97960800000000003</v>
      </c>
      <c r="X38" s="459">
        <f t="shared" si="53"/>
        <v>0.97960800000000003</v>
      </c>
      <c r="Y38" s="459">
        <f t="shared" si="53"/>
        <v>0.97960800000000003</v>
      </c>
      <c r="Z38" s="161">
        <f t="shared" si="54"/>
        <v>3.1536000000000002E-2</v>
      </c>
      <c r="AA38" s="345">
        <f>$AA$26</f>
        <v>0.5</v>
      </c>
      <c r="AB38" s="252">
        <v>20</v>
      </c>
      <c r="AC38" s="244"/>
      <c r="AD38" s="244"/>
      <c r="AE38" s="247"/>
      <c r="AF38" s="257"/>
      <c r="AG38" s="217">
        <f t="shared" si="9"/>
        <v>0</v>
      </c>
      <c r="AH38" s="217">
        <f t="shared" si="10"/>
        <v>0</v>
      </c>
      <c r="AI38" s="217">
        <f t="shared" si="11"/>
        <v>0</v>
      </c>
      <c r="AK38" s="466" t="str">
        <f>F38</f>
        <v>AGDCO</v>
      </c>
      <c r="AL38" s="507" t="s">
        <v>97</v>
      </c>
      <c r="AM38" s="508">
        <f>I78/1000</f>
        <v>0</v>
      </c>
      <c r="AN38" s="497">
        <f t="shared" si="39"/>
        <v>0</v>
      </c>
      <c r="AO38" s="498">
        <f t="shared" si="55"/>
        <v>0</v>
      </c>
      <c r="AP38" s="498">
        <f t="shared" si="56"/>
        <v>0</v>
      </c>
      <c r="AQ38" s="500">
        <f t="shared" si="21"/>
        <v>0</v>
      </c>
      <c r="AR38" s="501">
        <f t="shared" si="22"/>
        <v>0</v>
      </c>
      <c r="AS38" s="509">
        <f t="shared" si="23"/>
        <v>0</v>
      </c>
      <c r="AT38" s="508">
        <f t="shared" si="57"/>
        <v>0</v>
      </c>
      <c r="AU38" s="510">
        <f t="shared" si="57"/>
        <v>0</v>
      </c>
      <c r="AV38" s="511">
        <f t="shared" si="57"/>
        <v>0</v>
      </c>
      <c r="AW38" s="257"/>
      <c r="AX38" s="466" t="str">
        <f t="shared" si="13"/>
        <v>AGDCO</v>
      </c>
      <c r="AY38" s="507" t="s">
        <v>97</v>
      </c>
      <c r="AZ38" s="508">
        <f>I103/1000</f>
        <v>0</v>
      </c>
      <c r="BA38" s="501">
        <f>DE38*$AN$23</f>
        <v>0</v>
      </c>
      <c r="BB38" s="501">
        <f t="shared" si="43"/>
        <v>0</v>
      </c>
      <c r="BC38" s="501">
        <f t="shared" si="44"/>
        <v>0</v>
      </c>
      <c r="BD38" s="508">
        <f t="shared" si="24"/>
        <v>0</v>
      </c>
      <c r="BE38" s="510">
        <f t="shared" si="25"/>
        <v>0</v>
      </c>
      <c r="BF38" s="511">
        <f t="shared" si="26"/>
        <v>0</v>
      </c>
      <c r="BG38" s="508">
        <f t="shared" si="59"/>
        <v>0</v>
      </c>
      <c r="BH38" s="510">
        <f t="shared" si="60"/>
        <v>0</v>
      </c>
      <c r="BI38" s="511">
        <f t="shared" si="61"/>
        <v>0</v>
      </c>
      <c r="BJ38" s="257"/>
      <c r="BK38" s="466" t="str">
        <f>AK38</f>
        <v>AGDCO</v>
      </c>
      <c r="BL38" s="507" t="s">
        <v>97</v>
      </c>
      <c r="BM38" s="508">
        <f>I128/1000</f>
        <v>0</v>
      </c>
      <c r="BN38" s="501">
        <f>BM38*$AN$23</f>
        <v>0</v>
      </c>
      <c r="BO38" s="501">
        <f t="shared" si="46"/>
        <v>0</v>
      </c>
      <c r="BP38" s="501">
        <f t="shared" si="47"/>
        <v>0</v>
      </c>
      <c r="BQ38" s="500">
        <f t="shared" si="29"/>
        <v>0</v>
      </c>
      <c r="BR38" s="501">
        <f t="shared" si="30"/>
        <v>0</v>
      </c>
      <c r="BS38" s="509">
        <f t="shared" si="31"/>
        <v>0</v>
      </c>
      <c r="BT38" s="508">
        <f t="shared" si="62"/>
        <v>0</v>
      </c>
      <c r="BU38" s="510">
        <f t="shared" si="63"/>
        <v>0</v>
      </c>
      <c r="BV38" s="511">
        <f t="shared" si="64"/>
        <v>0</v>
      </c>
    </row>
    <row r="39" spans="3:78" ht="12.75" customHeight="1">
      <c r="C39" s="157" t="str">
        <f ca="1">+IF(OFFSET(Processes!B20,$D$11,0)="*","*",OFFSET(Processes!D20,$D$11,0))</f>
        <v>AGRCOBCOAE1</v>
      </c>
      <c r="D39" s="157" t="str">
        <f ca="1">+OFFSET(Processes!E20,$D$11,0)</f>
        <v>Agriculture Heat High Temp. Boiler - Coal Existing 1</v>
      </c>
      <c r="E39" s="156" t="str">
        <f>+Processes!O20</f>
        <v>AGRCOA</v>
      </c>
      <c r="F39" s="156" t="str">
        <f>Commodities!$D$7</f>
        <v>AGDCO</v>
      </c>
      <c r="G39" s="289">
        <f t="shared" si="50"/>
        <v>0</v>
      </c>
      <c r="H39" s="289">
        <f t="shared" si="50"/>
        <v>0</v>
      </c>
      <c r="I39" s="289">
        <f t="shared" si="50"/>
        <v>0</v>
      </c>
      <c r="J39" s="289">
        <f t="shared" si="51"/>
        <v>0</v>
      </c>
      <c r="K39" s="289">
        <f t="shared" si="51"/>
        <v>0</v>
      </c>
      <c r="L39" s="289">
        <f t="shared" si="51"/>
        <v>0</v>
      </c>
      <c r="M39" s="289">
        <f t="shared" si="52"/>
        <v>0</v>
      </c>
      <c r="N39" s="289">
        <f t="shared" si="52"/>
        <v>0</v>
      </c>
      <c r="O39" s="289">
        <f t="shared" si="52"/>
        <v>0</v>
      </c>
      <c r="P39" s="289">
        <f t="shared" si="2"/>
        <v>0</v>
      </c>
      <c r="Q39" s="289">
        <f t="shared" si="3"/>
        <v>0</v>
      </c>
      <c r="R39" s="289">
        <f t="shared" si="4"/>
        <v>0</v>
      </c>
      <c r="S39" s="289">
        <f t="shared" si="5"/>
        <v>0</v>
      </c>
      <c r="T39" s="289">
        <f t="shared" si="6"/>
        <v>0</v>
      </c>
      <c r="U39" s="289">
        <f t="shared" si="7"/>
        <v>0</v>
      </c>
      <c r="V39" s="289">
        <v>5</v>
      </c>
      <c r="W39" s="306">
        <f>D147</f>
        <v>0.91237999999999997</v>
      </c>
      <c r="X39" s="459">
        <f t="shared" si="53"/>
        <v>0.91237999999999997</v>
      </c>
      <c r="Y39" s="459">
        <f t="shared" si="53"/>
        <v>0.91237999999999997</v>
      </c>
      <c r="Z39" s="161">
        <f t="shared" si="54"/>
        <v>3.1536000000000002E-2</v>
      </c>
      <c r="AA39" s="343">
        <f>$AA$26</f>
        <v>0.5</v>
      </c>
      <c r="AB39" s="250">
        <v>20</v>
      </c>
      <c r="AC39" s="243"/>
      <c r="AD39" s="243"/>
      <c r="AE39" s="247"/>
      <c r="AF39" s="257"/>
      <c r="AG39" s="217">
        <f t="shared" si="9"/>
        <v>0</v>
      </c>
      <c r="AH39" s="217">
        <f t="shared" si="10"/>
        <v>0</v>
      </c>
      <c r="AI39" s="217">
        <f t="shared" si="11"/>
        <v>0</v>
      </c>
      <c r="AK39" s="260"/>
      <c r="AL39" s="495" t="s">
        <v>98</v>
      </c>
      <c r="AM39" s="496">
        <f>D78/1000</f>
        <v>0</v>
      </c>
      <c r="AN39" s="497">
        <f t="shared" si="39"/>
        <v>0</v>
      </c>
      <c r="AO39" s="498">
        <f t="shared" si="55"/>
        <v>0</v>
      </c>
      <c r="AP39" s="498">
        <f t="shared" si="56"/>
        <v>0</v>
      </c>
      <c r="AQ39" s="518">
        <f t="shared" si="21"/>
        <v>0</v>
      </c>
      <c r="AR39" s="498">
        <f t="shared" si="22"/>
        <v>0</v>
      </c>
      <c r="AS39" s="499">
        <f t="shared" si="23"/>
        <v>0</v>
      </c>
      <c r="AT39" s="496">
        <f t="shared" si="57"/>
        <v>0</v>
      </c>
      <c r="AU39" s="497">
        <f t="shared" si="57"/>
        <v>0</v>
      </c>
      <c r="AV39" s="502">
        <f t="shared" si="57"/>
        <v>0</v>
      </c>
      <c r="AW39" s="257"/>
      <c r="AX39" s="260"/>
      <c r="AY39" s="495" t="s">
        <v>98</v>
      </c>
      <c r="AZ39" s="496">
        <f>D103/1000</f>
        <v>0</v>
      </c>
      <c r="BA39" s="498">
        <f>DE39*$AN$23</f>
        <v>0</v>
      </c>
      <c r="BB39" s="498">
        <f t="shared" si="43"/>
        <v>0</v>
      </c>
      <c r="BC39" s="498">
        <f t="shared" si="44"/>
        <v>0</v>
      </c>
      <c r="BD39" s="496">
        <f t="shared" si="24"/>
        <v>0</v>
      </c>
      <c r="BE39" s="497">
        <f t="shared" si="25"/>
        <v>0</v>
      </c>
      <c r="BF39" s="502">
        <f t="shared" si="26"/>
        <v>0</v>
      </c>
      <c r="BG39" s="496">
        <f t="shared" si="59"/>
        <v>0</v>
      </c>
      <c r="BH39" s="497">
        <f t="shared" si="60"/>
        <v>0</v>
      </c>
      <c r="BI39" s="502">
        <f t="shared" si="61"/>
        <v>0</v>
      </c>
      <c r="BJ39" s="257"/>
      <c r="BK39" s="260"/>
      <c r="BL39" s="495" t="s">
        <v>98</v>
      </c>
      <c r="BM39" s="496">
        <f>D128/1000</f>
        <v>0</v>
      </c>
      <c r="BN39" s="498">
        <f>BM39*$AN$23</f>
        <v>0</v>
      </c>
      <c r="BO39" s="498">
        <f t="shared" si="46"/>
        <v>0</v>
      </c>
      <c r="BP39" s="498">
        <f t="shared" si="47"/>
        <v>0</v>
      </c>
      <c r="BQ39" s="518">
        <f t="shared" si="29"/>
        <v>0</v>
      </c>
      <c r="BR39" s="498">
        <f t="shared" si="30"/>
        <v>0</v>
      </c>
      <c r="BS39" s="499">
        <f t="shared" si="31"/>
        <v>0</v>
      </c>
      <c r="BT39" s="496">
        <f t="shared" si="62"/>
        <v>0</v>
      </c>
      <c r="BU39" s="497">
        <f t="shared" si="63"/>
        <v>0</v>
      </c>
      <c r="BV39" s="502">
        <f t="shared" si="64"/>
        <v>0</v>
      </c>
    </row>
    <row r="40" spans="3:78" ht="12.75" customHeight="1">
      <c r="C40" s="157" t="str">
        <f ca="1">+IF(OFFSET(Processes!B21,$D$11,0)="*","*",OFFSET(Processes!D21,$D$11,0))</f>
        <v>AGRCOBDSLE1</v>
      </c>
      <c r="D40" s="157" t="str">
        <f ca="1">+OFFSET(Processes!E21,$D$11,0)</f>
        <v>Agriculture Heat High Temp. Boiler - Diesel Existing 1</v>
      </c>
      <c r="E40" s="156" t="str">
        <f>+Processes!O21</f>
        <v>AGRDSB1,AGRDSB2,AGRDSL</v>
      </c>
      <c r="F40" s="156" t="str">
        <f>Commodities!$D$7</f>
        <v>AGDCO</v>
      </c>
      <c r="G40" s="289">
        <f t="shared" si="50"/>
        <v>0</v>
      </c>
      <c r="H40" s="289">
        <f t="shared" si="50"/>
        <v>0</v>
      </c>
      <c r="I40" s="289">
        <f t="shared" si="50"/>
        <v>0</v>
      </c>
      <c r="J40" s="289">
        <f t="shared" si="51"/>
        <v>0</v>
      </c>
      <c r="K40" s="289">
        <f t="shared" si="51"/>
        <v>0</v>
      </c>
      <c r="L40" s="289">
        <f t="shared" si="51"/>
        <v>0</v>
      </c>
      <c r="M40" s="289">
        <f t="shared" si="52"/>
        <v>0</v>
      </c>
      <c r="N40" s="289">
        <f t="shared" si="52"/>
        <v>0</v>
      </c>
      <c r="O40" s="289">
        <f t="shared" si="52"/>
        <v>0</v>
      </c>
      <c r="P40" s="289">
        <f t="shared" si="2"/>
        <v>0</v>
      </c>
      <c r="Q40" s="289">
        <f t="shared" si="3"/>
        <v>0</v>
      </c>
      <c r="R40" s="289">
        <f t="shared" si="4"/>
        <v>0</v>
      </c>
      <c r="S40" s="289">
        <f t="shared" si="5"/>
        <v>0</v>
      </c>
      <c r="T40" s="289">
        <f t="shared" si="6"/>
        <v>0</v>
      </c>
      <c r="U40" s="289">
        <f t="shared" si="7"/>
        <v>0</v>
      </c>
      <c r="V40" s="289">
        <v>5</v>
      </c>
      <c r="W40" s="306">
        <f>F147</f>
        <v>0.92198399999999991</v>
      </c>
      <c r="X40" s="459">
        <f t="shared" si="53"/>
        <v>0.92198399999999991</v>
      </c>
      <c r="Y40" s="459">
        <f t="shared" si="53"/>
        <v>0.92198399999999991</v>
      </c>
      <c r="Z40" s="161">
        <f t="shared" si="54"/>
        <v>3.1536000000000002E-2</v>
      </c>
      <c r="AA40" s="345">
        <f>$AA$26</f>
        <v>0.5</v>
      </c>
      <c r="AB40" s="252">
        <v>20</v>
      </c>
      <c r="AC40" s="243"/>
      <c r="AD40" s="243"/>
      <c r="AE40" s="247"/>
      <c r="AF40" s="257"/>
      <c r="AG40" s="217">
        <f t="shared" si="9"/>
        <v>0</v>
      </c>
      <c r="AH40" s="217">
        <f t="shared" si="10"/>
        <v>0</v>
      </c>
      <c r="AI40" s="217">
        <f t="shared" si="11"/>
        <v>0</v>
      </c>
      <c r="AK40" s="260"/>
      <c r="AL40" s="495" t="s">
        <v>59</v>
      </c>
      <c r="AM40" s="496">
        <f>F78/1000</f>
        <v>0</v>
      </c>
      <c r="AN40" s="497">
        <f t="shared" si="39"/>
        <v>0</v>
      </c>
      <c r="AO40" s="498">
        <f t="shared" si="55"/>
        <v>0</v>
      </c>
      <c r="AP40" s="498">
        <f t="shared" si="56"/>
        <v>0</v>
      </c>
      <c r="AQ40" s="518">
        <f t="shared" si="21"/>
        <v>0</v>
      </c>
      <c r="AR40" s="498">
        <f t="shared" si="22"/>
        <v>0</v>
      </c>
      <c r="AS40" s="499">
        <f t="shared" si="23"/>
        <v>0</v>
      </c>
      <c r="AT40" s="496">
        <f t="shared" si="57"/>
        <v>0</v>
      </c>
      <c r="AU40" s="497">
        <f t="shared" si="57"/>
        <v>0</v>
      </c>
      <c r="AV40" s="502">
        <f t="shared" si="57"/>
        <v>0</v>
      </c>
      <c r="AW40" s="257"/>
      <c r="AX40" s="260"/>
      <c r="AY40" s="495" t="s">
        <v>59</v>
      </c>
      <c r="AZ40" s="496">
        <f>F103/1000</f>
        <v>0</v>
      </c>
      <c r="BA40" s="498">
        <f>AZ40*$AN$23</f>
        <v>0</v>
      </c>
      <c r="BB40" s="498">
        <f t="shared" ref="BB40:BB62" si="65">AZ40*$BB$23</f>
        <v>0</v>
      </c>
      <c r="BC40" s="498">
        <f t="shared" ref="BC40:BC62" si="66">AZ40*$BC$23</f>
        <v>0</v>
      </c>
      <c r="BD40" s="496">
        <f t="shared" si="24"/>
        <v>0</v>
      </c>
      <c r="BE40" s="497">
        <f t="shared" si="25"/>
        <v>0</v>
      </c>
      <c r="BF40" s="502">
        <f t="shared" si="26"/>
        <v>0</v>
      </c>
      <c r="BG40" s="496">
        <f t="shared" si="59"/>
        <v>0</v>
      </c>
      <c r="BH40" s="497">
        <f t="shared" si="60"/>
        <v>0</v>
      </c>
      <c r="BI40" s="502">
        <f t="shared" si="61"/>
        <v>0</v>
      </c>
      <c r="BJ40" s="257"/>
      <c r="BK40" s="260"/>
      <c r="BL40" s="495" t="s">
        <v>59</v>
      </c>
      <c r="BM40" s="496">
        <f>F128/1000</f>
        <v>0</v>
      </c>
      <c r="BN40" s="498">
        <f>BM40*$AN$23</f>
        <v>0</v>
      </c>
      <c r="BO40" s="498">
        <f t="shared" si="46"/>
        <v>0</v>
      </c>
      <c r="BP40" s="498">
        <f t="shared" si="47"/>
        <v>0</v>
      </c>
      <c r="BQ40" s="518">
        <f t="shared" si="29"/>
        <v>0</v>
      </c>
      <c r="BR40" s="498">
        <f t="shared" si="30"/>
        <v>0</v>
      </c>
      <c r="BS40" s="499">
        <f t="shared" si="31"/>
        <v>0</v>
      </c>
      <c r="BT40" s="496">
        <f t="shared" si="62"/>
        <v>0</v>
      </c>
      <c r="BU40" s="497">
        <f t="shared" si="63"/>
        <v>0</v>
      </c>
      <c r="BV40" s="502">
        <f t="shared" si="64"/>
        <v>0</v>
      </c>
    </row>
    <row r="41" spans="3:78" ht="12.75" customHeight="1">
      <c r="C41" s="157" t="str">
        <f ca="1">+IF(OFFSET(Processes!B22,$D$11,0)="*","*",OFFSET(Processes!D22,$D$11,0))</f>
        <v>AGRCOBWPEE1</v>
      </c>
      <c r="D41" s="157" t="str">
        <f ca="1">+OFFSET(Processes!E22,$D$11,0)</f>
        <v>Agriculture Heat High Temp. Boiler - Wood Pellets Existing 1</v>
      </c>
      <c r="E41" s="156" t="str">
        <f>+Processes!O22</f>
        <v>AGRWPE</v>
      </c>
      <c r="F41" s="156" t="str">
        <f>Commodities!$D$7</f>
        <v>AGDCO</v>
      </c>
      <c r="G41" s="288">
        <f t="shared" si="50"/>
        <v>0</v>
      </c>
      <c r="H41" s="288">
        <f t="shared" si="50"/>
        <v>0</v>
      </c>
      <c r="I41" s="288">
        <f t="shared" si="50"/>
        <v>0</v>
      </c>
      <c r="J41" s="288">
        <f t="shared" si="51"/>
        <v>0</v>
      </c>
      <c r="K41" s="288">
        <f t="shared" si="51"/>
        <v>0</v>
      </c>
      <c r="L41" s="288">
        <f t="shared" si="51"/>
        <v>0</v>
      </c>
      <c r="M41" s="288">
        <f t="shared" si="52"/>
        <v>0</v>
      </c>
      <c r="N41" s="288">
        <f t="shared" si="52"/>
        <v>0</v>
      </c>
      <c r="O41" s="288">
        <f t="shared" si="52"/>
        <v>0</v>
      </c>
      <c r="P41" s="289">
        <f t="shared" si="2"/>
        <v>0</v>
      </c>
      <c r="Q41" s="289">
        <f t="shared" si="3"/>
        <v>0</v>
      </c>
      <c r="R41" s="289">
        <f t="shared" si="4"/>
        <v>0</v>
      </c>
      <c r="S41" s="288">
        <f t="shared" si="5"/>
        <v>0</v>
      </c>
      <c r="T41" s="288">
        <f t="shared" si="6"/>
        <v>0</v>
      </c>
      <c r="U41" s="288">
        <f t="shared" si="7"/>
        <v>0</v>
      </c>
      <c r="V41" s="288">
        <v>5</v>
      </c>
      <c r="W41" s="306">
        <f>K147</f>
        <v>0.81633999999999995</v>
      </c>
      <c r="X41" s="459">
        <f t="shared" si="53"/>
        <v>0.81633999999999995</v>
      </c>
      <c r="Y41" s="459">
        <f t="shared" si="53"/>
        <v>0.81633999999999995</v>
      </c>
      <c r="Z41" s="161">
        <f t="shared" si="54"/>
        <v>3.1536000000000002E-2</v>
      </c>
      <c r="AA41" s="345">
        <f>$AA$26</f>
        <v>0.5</v>
      </c>
      <c r="AB41" s="252">
        <v>20</v>
      </c>
      <c r="AC41" s="286">
        <v>0.5</v>
      </c>
      <c r="AD41" s="286">
        <v>0.5</v>
      </c>
      <c r="AE41" s="245">
        <v>5</v>
      </c>
      <c r="AF41" s="257"/>
      <c r="AG41" s="217">
        <f t="shared" si="9"/>
        <v>0</v>
      </c>
      <c r="AH41" s="217">
        <f t="shared" si="10"/>
        <v>0</v>
      </c>
      <c r="AI41" s="217">
        <f t="shared" si="11"/>
        <v>0</v>
      </c>
      <c r="AK41" s="260"/>
      <c r="AL41" s="495" t="s">
        <v>99</v>
      </c>
      <c r="AM41" s="496">
        <f>K78/1000</f>
        <v>0</v>
      </c>
      <c r="AN41" s="497">
        <f t="shared" si="39"/>
        <v>0</v>
      </c>
      <c r="AO41" s="498">
        <f t="shared" si="55"/>
        <v>0</v>
      </c>
      <c r="AP41" s="498">
        <f t="shared" si="56"/>
        <v>0</v>
      </c>
      <c r="AQ41" s="518">
        <f t="shared" si="21"/>
        <v>0</v>
      </c>
      <c r="AR41" s="498">
        <f t="shared" si="22"/>
        <v>0</v>
      </c>
      <c r="AS41" s="499">
        <f t="shared" si="23"/>
        <v>0</v>
      </c>
      <c r="AT41" s="496">
        <f t="shared" si="57"/>
        <v>0</v>
      </c>
      <c r="AU41" s="497">
        <f t="shared" si="57"/>
        <v>0</v>
      </c>
      <c r="AV41" s="502">
        <f t="shared" si="57"/>
        <v>0</v>
      </c>
      <c r="AW41" s="257"/>
      <c r="AX41" s="260"/>
      <c r="AY41" s="495" t="s">
        <v>99</v>
      </c>
      <c r="AZ41" s="496">
        <f>K103/1000</f>
        <v>0</v>
      </c>
      <c r="BA41" s="498">
        <f>AZ41*$AN$23</f>
        <v>0</v>
      </c>
      <c r="BB41" s="498">
        <f t="shared" si="65"/>
        <v>0</v>
      </c>
      <c r="BC41" s="498">
        <f t="shared" si="66"/>
        <v>0</v>
      </c>
      <c r="BD41" s="496">
        <f t="shared" si="24"/>
        <v>0</v>
      </c>
      <c r="BE41" s="497">
        <f t="shared" si="25"/>
        <v>0</v>
      </c>
      <c r="BF41" s="502">
        <f t="shared" si="26"/>
        <v>0</v>
      </c>
      <c r="BG41" s="496">
        <f t="shared" si="59"/>
        <v>0</v>
      </c>
      <c r="BH41" s="497">
        <f t="shared" si="60"/>
        <v>0</v>
      </c>
      <c r="BI41" s="502">
        <f t="shared" si="61"/>
        <v>0</v>
      </c>
      <c r="BJ41" s="257"/>
      <c r="BK41" s="260"/>
      <c r="BL41" s="495" t="s">
        <v>99</v>
      </c>
      <c r="BM41" s="496">
        <f>K128/1000</f>
        <v>0</v>
      </c>
      <c r="BN41" s="498">
        <f>BM41*$AN$23</f>
        <v>0</v>
      </c>
      <c r="BO41" s="498">
        <f t="shared" si="46"/>
        <v>0</v>
      </c>
      <c r="BP41" s="498">
        <f t="shared" si="47"/>
        <v>0</v>
      </c>
      <c r="BQ41" s="518">
        <f t="shared" si="29"/>
        <v>0</v>
      </c>
      <c r="BR41" s="498">
        <f t="shared" si="30"/>
        <v>0</v>
      </c>
      <c r="BS41" s="499">
        <f t="shared" si="31"/>
        <v>0</v>
      </c>
      <c r="BT41" s="496">
        <f t="shared" si="62"/>
        <v>0</v>
      </c>
      <c r="BU41" s="497">
        <f t="shared" si="63"/>
        <v>0</v>
      </c>
      <c r="BV41" s="502">
        <f t="shared" si="64"/>
        <v>0</v>
      </c>
    </row>
    <row r="42" spans="3:78" ht="12.75" customHeight="1">
      <c r="C42" s="157"/>
      <c r="D42" s="157"/>
      <c r="E42" s="156" t="str">
        <f>+Processes!O23</f>
        <v>AGRWCH</v>
      </c>
      <c r="F42" s="156"/>
      <c r="G42" s="288"/>
      <c r="H42" s="288"/>
      <c r="I42" s="288"/>
      <c r="J42" s="288"/>
      <c r="K42" s="288"/>
      <c r="L42" s="288"/>
      <c r="M42" s="288"/>
      <c r="N42" s="288"/>
      <c r="O42" s="288"/>
      <c r="P42" s="289">
        <f t="shared" si="2"/>
        <v>0</v>
      </c>
      <c r="Q42" s="289">
        <f t="shared" si="3"/>
        <v>0</v>
      </c>
      <c r="R42" s="289">
        <f t="shared" si="4"/>
        <v>0</v>
      </c>
      <c r="S42" s="288">
        <f t="shared" si="5"/>
        <v>0</v>
      </c>
      <c r="T42" s="288">
        <f t="shared" si="6"/>
        <v>0</v>
      </c>
      <c r="U42" s="288">
        <f t="shared" si="7"/>
        <v>0</v>
      </c>
      <c r="V42" s="288" t="str">
        <f>IF(S42&gt;0,0.001,"")</f>
        <v/>
      </c>
      <c r="W42" s="306"/>
      <c r="X42" s="459"/>
      <c r="Y42" s="459"/>
      <c r="Z42" s="161"/>
      <c r="AA42" s="345"/>
      <c r="AB42" s="252"/>
      <c r="AC42" s="286">
        <f>1-AC41</f>
        <v>0.5</v>
      </c>
      <c r="AD42" s="286">
        <f>1-AD41</f>
        <v>0.5</v>
      </c>
      <c r="AE42" s="245">
        <v>5</v>
      </c>
      <c r="AF42" s="257"/>
      <c r="AG42" s="217"/>
      <c r="AH42" s="217"/>
      <c r="AI42" s="217"/>
      <c r="AK42" s="260"/>
      <c r="AL42" s="495" t="s">
        <v>106</v>
      </c>
      <c r="AM42" s="496"/>
      <c r="AN42" s="497">
        <f t="shared" si="39"/>
        <v>0</v>
      </c>
      <c r="AO42" s="498">
        <f t="shared" si="55"/>
        <v>0</v>
      </c>
      <c r="AP42" s="498">
        <f t="shared" si="56"/>
        <v>0</v>
      </c>
      <c r="AQ42" s="518">
        <f t="shared" si="21"/>
        <v>0</v>
      </c>
      <c r="AR42" s="498">
        <f t="shared" si="22"/>
        <v>0</v>
      </c>
      <c r="AS42" s="499">
        <f t="shared" si="23"/>
        <v>0</v>
      </c>
      <c r="AT42" s="496"/>
      <c r="AU42" s="497"/>
      <c r="AV42" s="502"/>
      <c r="AW42" s="257"/>
      <c r="AX42" s="260"/>
      <c r="AY42" s="495" t="s">
        <v>106</v>
      </c>
      <c r="AZ42" s="496"/>
      <c r="BA42" s="498"/>
      <c r="BB42" s="498">
        <f t="shared" si="65"/>
        <v>0</v>
      </c>
      <c r="BC42" s="498">
        <f t="shared" si="66"/>
        <v>0</v>
      </c>
      <c r="BD42" s="496">
        <f t="shared" si="24"/>
        <v>0</v>
      </c>
      <c r="BE42" s="497">
        <f t="shared" si="25"/>
        <v>0</v>
      </c>
      <c r="BF42" s="502">
        <f t="shared" si="26"/>
        <v>0</v>
      </c>
      <c r="BG42" s="496">
        <f t="shared" si="59"/>
        <v>0</v>
      </c>
      <c r="BH42" s="497">
        <f t="shared" si="60"/>
        <v>0</v>
      </c>
      <c r="BI42" s="502">
        <f t="shared" si="61"/>
        <v>0</v>
      </c>
      <c r="BJ42" s="257"/>
      <c r="BK42" s="260"/>
      <c r="BL42" s="495" t="s">
        <v>106</v>
      </c>
      <c r="BM42" s="496"/>
      <c r="BN42" s="498"/>
      <c r="BO42" s="498">
        <f t="shared" si="46"/>
        <v>0</v>
      </c>
      <c r="BP42" s="498">
        <f t="shared" si="47"/>
        <v>0</v>
      </c>
      <c r="BQ42" s="518">
        <f t="shared" si="29"/>
        <v>0</v>
      </c>
      <c r="BR42" s="498">
        <f t="shared" si="30"/>
        <v>0</v>
      </c>
      <c r="BS42" s="499">
        <f t="shared" si="31"/>
        <v>0</v>
      </c>
      <c r="BT42" s="496">
        <f t="shared" si="62"/>
        <v>0</v>
      </c>
      <c r="BU42" s="497">
        <f t="shared" si="63"/>
        <v>0</v>
      </c>
      <c r="BV42" s="502">
        <f t="shared" si="64"/>
        <v>0</v>
      </c>
    </row>
    <row r="43" spans="3:78" ht="12.75" customHeight="1">
      <c r="C43" s="157" t="str">
        <f ca="1">+IF(OFFSET(Processes!B24,$D$11,0)="*","*",OFFSET(Processes!D24,$D$11,0))</f>
        <v>AGRCOBHFOE1</v>
      </c>
      <c r="D43" s="157" t="str">
        <f ca="1">+OFFSET(Processes!E24,$D$11,0)</f>
        <v>Agriculture Heat High Temp. Boiler - Heavy Fuel Oil Existing 1</v>
      </c>
      <c r="E43" s="156" t="str">
        <f>+Processes!O24</f>
        <v>AGRHFO</v>
      </c>
      <c r="F43" s="156" t="str">
        <f>Commodities!$D$7</f>
        <v>AGDCO</v>
      </c>
      <c r="G43" s="289">
        <f t="shared" ref="G43:I50" si="67">AN43/($Z43*$AA43)*G$21*W43</f>
        <v>0</v>
      </c>
      <c r="H43" s="289">
        <f t="shared" si="67"/>
        <v>0</v>
      </c>
      <c r="I43" s="289">
        <f t="shared" si="67"/>
        <v>0</v>
      </c>
      <c r="J43" s="289">
        <f t="shared" ref="J43:L50" si="68">BA43/($Z43*$AA43)*J$21*W43</f>
        <v>0</v>
      </c>
      <c r="K43" s="289">
        <f t="shared" si="68"/>
        <v>0</v>
      </c>
      <c r="L43" s="289">
        <f t="shared" si="68"/>
        <v>0</v>
      </c>
      <c r="M43" s="289">
        <f t="shared" ref="M43:O50" si="69">BN43/($Z43*$AA43)*M$21*W43</f>
        <v>0</v>
      </c>
      <c r="N43" s="289">
        <f t="shared" si="69"/>
        <v>0</v>
      </c>
      <c r="O43" s="289">
        <f t="shared" si="69"/>
        <v>0</v>
      </c>
      <c r="P43" s="289">
        <f t="shared" si="2"/>
        <v>0</v>
      </c>
      <c r="Q43" s="289">
        <f t="shared" si="3"/>
        <v>0</v>
      </c>
      <c r="R43" s="289">
        <f t="shared" si="4"/>
        <v>0</v>
      </c>
      <c r="S43" s="289">
        <f t="shared" si="5"/>
        <v>0</v>
      </c>
      <c r="T43" s="289">
        <f t="shared" si="6"/>
        <v>0</v>
      </c>
      <c r="U43" s="289">
        <f t="shared" si="7"/>
        <v>0</v>
      </c>
      <c r="V43" s="289">
        <v>5</v>
      </c>
      <c r="W43" s="306">
        <f>E147</f>
        <v>0.91237999999999997</v>
      </c>
      <c r="X43" s="459">
        <f t="shared" ref="X43:Y50" si="70">W43</f>
        <v>0.91237999999999997</v>
      </c>
      <c r="Y43" s="459">
        <f t="shared" si="70"/>
        <v>0.91237999999999997</v>
      </c>
      <c r="Z43" s="161">
        <f t="shared" si="54"/>
        <v>3.1536000000000002E-2</v>
      </c>
      <c r="AA43" s="345">
        <f t="shared" ref="AA43:AA50" si="71">$AA$26</f>
        <v>0.5</v>
      </c>
      <c r="AB43" s="252">
        <v>20</v>
      </c>
      <c r="AC43" s="241"/>
      <c r="AD43" s="241"/>
      <c r="AE43" s="247"/>
      <c r="AF43" s="257"/>
      <c r="AG43" s="217">
        <f t="shared" ref="AG43:AG50" si="72">((G43*Z43*AA43/W43)+(H43*Z43*AA43/X43))/$G$21</f>
        <v>0</v>
      </c>
      <c r="AH43" s="217">
        <f t="shared" ref="AH43:AH50" si="73">((J43*Z43*AA43/W43)+(K43*Z43*AA43/X43))/$J$21</f>
        <v>0</v>
      </c>
      <c r="AI43" s="217">
        <f t="shared" ref="AI43:AI50" si="74">((M43*AA43*Z43/W43)+(N43*Z43*AA43/X43))/$M$21</f>
        <v>0</v>
      </c>
      <c r="AK43" s="260"/>
      <c r="AL43" s="495" t="s">
        <v>101</v>
      </c>
      <c r="AM43" s="496">
        <f>E78/1000</f>
        <v>0</v>
      </c>
      <c r="AN43" s="497">
        <f t="shared" ref="AN43" si="75">AM43*$AN$23</f>
        <v>0</v>
      </c>
      <c r="AO43" s="498">
        <f t="shared" si="55"/>
        <v>0</v>
      </c>
      <c r="AP43" s="498">
        <f t="shared" si="56"/>
        <v>0</v>
      </c>
      <c r="AQ43" s="518">
        <f t="shared" si="21"/>
        <v>0</v>
      </c>
      <c r="AR43" s="498">
        <f t="shared" si="22"/>
        <v>0</v>
      </c>
      <c r="AS43" s="499">
        <f t="shared" si="23"/>
        <v>0</v>
      </c>
      <c r="AT43" s="496">
        <f t="shared" ref="AT43:AV50" si="76">IFERROR(AQ43/W43,0)</f>
        <v>0</v>
      </c>
      <c r="AU43" s="497">
        <f t="shared" si="76"/>
        <v>0</v>
      </c>
      <c r="AV43" s="502">
        <f t="shared" si="76"/>
        <v>0</v>
      </c>
      <c r="AW43" s="257"/>
      <c r="AX43" s="260"/>
      <c r="AY43" s="495" t="s">
        <v>101</v>
      </c>
      <c r="AZ43" s="496">
        <f>E103/1000</f>
        <v>0</v>
      </c>
      <c r="BA43" s="498">
        <f t="shared" ref="BA43:BA50" si="77">AZ43*$AN$23</f>
        <v>0</v>
      </c>
      <c r="BB43" s="498">
        <f t="shared" si="65"/>
        <v>0</v>
      </c>
      <c r="BC43" s="498">
        <f t="shared" si="66"/>
        <v>0</v>
      </c>
      <c r="BD43" s="496">
        <f t="shared" si="24"/>
        <v>0</v>
      </c>
      <c r="BE43" s="497">
        <f t="shared" si="25"/>
        <v>0</v>
      </c>
      <c r="BF43" s="502">
        <f t="shared" si="26"/>
        <v>0</v>
      </c>
      <c r="BG43" s="496">
        <f t="shared" si="59"/>
        <v>0</v>
      </c>
      <c r="BH43" s="497">
        <f t="shared" si="60"/>
        <v>0</v>
      </c>
      <c r="BI43" s="502">
        <f t="shared" si="61"/>
        <v>0</v>
      </c>
      <c r="BJ43" s="257"/>
      <c r="BK43" s="260"/>
      <c r="BL43" s="495" t="s">
        <v>101</v>
      </c>
      <c r="BM43" s="496">
        <f>E128/1000</f>
        <v>0</v>
      </c>
      <c r="BN43" s="498">
        <f t="shared" ref="BN43:BN50" si="78">BM43*$AN$23</f>
        <v>0</v>
      </c>
      <c r="BO43" s="498">
        <f t="shared" si="46"/>
        <v>0</v>
      </c>
      <c r="BP43" s="498">
        <f t="shared" si="47"/>
        <v>0</v>
      </c>
      <c r="BQ43" s="518">
        <f t="shared" si="29"/>
        <v>0</v>
      </c>
      <c r="BR43" s="498">
        <f t="shared" si="30"/>
        <v>0</v>
      </c>
      <c r="BS43" s="499">
        <f t="shared" si="31"/>
        <v>0</v>
      </c>
      <c r="BT43" s="496">
        <f t="shared" si="62"/>
        <v>0</v>
      </c>
      <c r="BU43" s="497">
        <f t="shared" si="63"/>
        <v>0</v>
      </c>
      <c r="BV43" s="502">
        <f t="shared" si="64"/>
        <v>0</v>
      </c>
      <c r="BX43" s="339"/>
      <c r="BY43" s="339"/>
      <c r="BZ43" s="39"/>
    </row>
    <row r="44" spans="3:78" ht="12.75" customHeight="1">
      <c r="C44" s="157" t="str">
        <f ca="1">+IF(OFFSET(Processes!B25,$D$11,0)="*","*",OFFSET(Processes!D25,$D$11,0))</f>
        <v>AGRCOBLPGE1</v>
      </c>
      <c r="D44" s="157" t="str">
        <f ca="1">+OFFSET(Processes!E25,$D$11,0)</f>
        <v>Agriculture Heat High Temp. Boiler - Liquified Petroleum Gas Existing 1</v>
      </c>
      <c r="E44" s="156" t="str">
        <f>+Processes!O25</f>
        <v>AGRLPG</v>
      </c>
      <c r="F44" s="156" t="str">
        <f>Commodities!$D$7</f>
        <v>AGDCO</v>
      </c>
      <c r="G44" s="289">
        <f t="shared" si="67"/>
        <v>0</v>
      </c>
      <c r="H44" s="289">
        <f t="shared" si="67"/>
        <v>0</v>
      </c>
      <c r="I44" s="289">
        <f t="shared" si="67"/>
        <v>0</v>
      </c>
      <c r="J44" s="289">
        <f t="shared" si="68"/>
        <v>0</v>
      </c>
      <c r="K44" s="289">
        <f t="shared" si="68"/>
        <v>0</v>
      </c>
      <c r="L44" s="289">
        <f t="shared" si="68"/>
        <v>0</v>
      </c>
      <c r="M44" s="289">
        <f t="shared" si="69"/>
        <v>0</v>
      </c>
      <c r="N44" s="289">
        <f t="shared" si="69"/>
        <v>0</v>
      </c>
      <c r="O44" s="289">
        <f t="shared" si="69"/>
        <v>0</v>
      </c>
      <c r="P44" s="289">
        <f t="shared" si="2"/>
        <v>0</v>
      </c>
      <c r="Q44" s="289">
        <f t="shared" si="3"/>
        <v>0</v>
      </c>
      <c r="R44" s="289">
        <f t="shared" si="4"/>
        <v>0</v>
      </c>
      <c r="S44" s="289">
        <f t="shared" si="5"/>
        <v>0</v>
      </c>
      <c r="T44" s="289">
        <f t="shared" si="6"/>
        <v>0</v>
      </c>
      <c r="U44" s="289">
        <f t="shared" si="7"/>
        <v>0</v>
      </c>
      <c r="V44" s="289">
        <v>5</v>
      </c>
      <c r="W44" s="306">
        <f>H147</f>
        <v>0.97960800000000003</v>
      </c>
      <c r="X44" s="459">
        <f t="shared" si="70"/>
        <v>0.97960800000000003</v>
      </c>
      <c r="Y44" s="459">
        <f t="shared" si="70"/>
        <v>0.97960800000000003</v>
      </c>
      <c r="Z44" s="161">
        <f t="shared" si="54"/>
        <v>3.1536000000000002E-2</v>
      </c>
      <c r="AA44" s="345">
        <f t="shared" si="71"/>
        <v>0.5</v>
      </c>
      <c r="AB44" s="252">
        <v>20</v>
      </c>
      <c r="AC44" s="241"/>
      <c r="AD44" s="241"/>
      <c r="AE44" s="247"/>
      <c r="AF44" s="257"/>
      <c r="AG44" s="217">
        <f t="shared" si="72"/>
        <v>0</v>
      </c>
      <c r="AH44" s="217">
        <f t="shared" si="73"/>
        <v>0</v>
      </c>
      <c r="AI44" s="217">
        <f t="shared" si="74"/>
        <v>0</v>
      </c>
      <c r="AK44" s="260"/>
      <c r="AL44" s="495" t="s">
        <v>53</v>
      </c>
      <c r="AM44" s="496">
        <f>H78/1000</f>
        <v>0</v>
      </c>
      <c r="AN44" s="497">
        <f t="shared" ref="AN44" si="79">AM44*$AN$23</f>
        <v>0</v>
      </c>
      <c r="AO44" s="498">
        <f t="shared" si="55"/>
        <v>0</v>
      </c>
      <c r="AP44" s="498">
        <f t="shared" si="56"/>
        <v>0</v>
      </c>
      <c r="AQ44" s="518">
        <f t="shared" si="21"/>
        <v>0</v>
      </c>
      <c r="AR44" s="498">
        <f t="shared" si="22"/>
        <v>0</v>
      </c>
      <c r="AS44" s="499">
        <f t="shared" si="23"/>
        <v>0</v>
      </c>
      <c r="AT44" s="496">
        <f t="shared" si="76"/>
        <v>0</v>
      </c>
      <c r="AU44" s="497">
        <f t="shared" si="76"/>
        <v>0</v>
      </c>
      <c r="AV44" s="502">
        <f t="shared" si="76"/>
        <v>0</v>
      </c>
      <c r="AW44" s="257"/>
      <c r="AX44" s="260"/>
      <c r="AY44" s="495" t="s">
        <v>53</v>
      </c>
      <c r="AZ44" s="496">
        <f>H103/1000</f>
        <v>0</v>
      </c>
      <c r="BA44" s="498">
        <f t="shared" si="77"/>
        <v>0</v>
      </c>
      <c r="BB44" s="498">
        <f t="shared" si="65"/>
        <v>0</v>
      </c>
      <c r="BC44" s="498">
        <f t="shared" si="66"/>
        <v>0</v>
      </c>
      <c r="BD44" s="496">
        <f t="shared" si="24"/>
        <v>0</v>
      </c>
      <c r="BE44" s="497">
        <f t="shared" si="25"/>
        <v>0</v>
      </c>
      <c r="BF44" s="502">
        <f t="shared" si="26"/>
        <v>0</v>
      </c>
      <c r="BG44" s="496">
        <f t="shared" si="59"/>
        <v>0</v>
      </c>
      <c r="BH44" s="497">
        <f t="shared" si="60"/>
        <v>0</v>
      </c>
      <c r="BI44" s="502">
        <f t="shared" si="61"/>
        <v>0</v>
      </c>
      <c r="BJ44" s="257"/>
      <c r="BK44" s="260"/>
      <c r="BL44" s="495" t="s">
        <v>53</v>
      </c>
      <c r="BM44" s="496">
        <f>H128/1000</f>
        <v>0</v>
      </c>
      <c r="BN44" s="498">
        <f t="shared" si="78"/>
        <v>0</v>
      </c>
      <c r="BO44" s="498">
        <f t="shared" si="46"/>
        <v>0</v>
      </c>
      <c r="BP44" s="498">
        <f t="shared" si="47"/>
        <v>0</v>
      </c>
      <c r="BQ44" s="518">
        <f t="shared" si="29"/>
        <v>0</v>
      </c>
      <c r="BR44" s="498">
        <f t="shared" si="30"/>
        <v>0</v>
      </c>
      <c r="BS44" s="499">
        <f t="shared" si="31"/>
        <v>0</v>
      </c>
      <c r="BT44" s="496">
        <f t="shared" si="62"/>
        <v>0</v>
      </c>
      <c r="BU44" s="497">
        <f t="shared" si="63"/>
        <v>0</v>
      </c>
      <c r="BV44" s="502">
        <f t="shared" si="64"/>
        <v>0</v>
      </c>
      <c r="BX44" s="339"/>
      <c r="BY44" s="339"/>
    </row>
    <row r="45" spans="3:78" ht="12.75" customHeight="1">
      <c r="C45" s="157" t="str">
        <f ca="1">+IF(OFFSET(Processes!B26,$D$11,0)="*","*",OFFSET(Processes!D26,$D$11,0))</f>
        <v>AGRCOBWSTE1</v>
      </c>
      <c r="D45" s="157" t="str">
        <f ca="1">+OFFSET(Processes!E26,$D$11,0)</f>
        <v>Agriculture Heat High Temp. Boiler - Waste Existing 1</v>
      </c>
      <c r="E45" s="156" t="str">
        <f>+Processes!O26</f>
        <v>AGRWST</v>
      </c>
      <c r="F45" s="156" t="str">
        <f>Commodities!$D$7</f>
        <v>AGDCO</v>
      </c>
      <c r="G45" s="289">
        <f t="shared" si="67"/>
        <v>0</v>
      </c>
      <c r="H45" s="289">
        <f t="shared" si="67"/>
        <v>0</v>
      </c>
      <c r="I45" s="289">
        <f t="shared" si="67"/>
        <v>0</v>
      </c>
      <c r="J45" s="289">
        <f t="shared" si="68"/>
        <v>0</v>
      </c>
      <c r="K45" s="289">
        <f t="shared" si="68"/>
        <v>0</v>
      </c>
      <c r="L45" s="289">
        <f t="shared" si="68"/>
        <v>0</v>
      </c>
      <c r="M45" s="289">
        <f t="shared" si="69"/>
        <v>0</v>
      </c>
      <c r="N45" s="289">
        <f t="shared" si="69"/>
        <v>0</v>
      </c>
      <c r="O45" s="289">
        <f t="shared" si="69"/>
        <v>0</v>
      </c>
      <c r="P45" s="289">
        <f t="shared" si="2"/>
        <v>0</v>
      </c>
      <c r="Q45" s="289">
        <f t="shared" si="3"/>
        <v>0</v>
      </c>
      <c r="R45" s="289">
        <f t="shared" si="4"/>
        <v>0</v>
      </c>
      <c r="S45" s="289">
        <f t="shared" si="5"/>
        <v>0</v>
      </c>
      <c r="T45" s="289">
        <f t="shared" si="6"/>
        <v>0</v>
      </c>
      <c r="U45" s="289">
        <f t="shared" si="7"/>
        <v>0</v>
      </c>
      <c r="V45" s="289">
        <v>5</v>
      </c>
      <c r="W45" s="306">
        <f>L147</f>
        <v>0.91237999999999997</v>
      </c>
      <c r="X45" s="459">
        <f t="shared" si="70"/>
        <v>0.91237999999999997</v>
      </c>
      <c r="Y45" s="459">
        <f t="shared" si="70"/>
        <v>0.91237999999999997</v>
      </c>
      <c r="Z45" s="161">
        <f t="shared" si="54"/>
        <v>3.1536000000000002E-2</v>
      </c>
      <c r="AA45" s="345">
        <f t="shared" si="71"/>
        <v>0.5</v>
      </c>
      <c r="AB45" s="252">
        <v>20</v>
      </c>
      <c r="AC45" s="243"/>
      <c r="AD45" s="243"/>
      <c r="AE45" s="247"/>
      <c r="AF45" s="257"/>
      <c r="AG45" s="217">
        <f t="shared" si="72"/>
        <v>0</v>
      </c>
      <c r="AH45" s="217">
        <f t="shared" si="73"/>
        <v>0</v>
      </c>
      <c r="AI45" s="217">
        <f t="shared" si="74"/>
        <v>0</v>
      </c>
      <c r="AK45" s="260"/>
      <c r="AL45" s="495" t="s">
        <v>102</v>
      </c>
      <c r="AM45" s="496">
        <f>$L78/1000</f>
        <v>0</v>
      </c>
      <c r="AN45" s="497">
        <f t="shared" ref="AN45" si="80">AM45*$AN$23</f>
        <v>0</v>
      </c>
      <c r="AO45" s="498">
        <f t="shared" si="55"/>
        <v>0</v>
      </c>
      <c r="AP45" s="498">
        <f t="shared" si="56"/>
        <v>0</v>
      </c>
      <c r="AQ45" s="518">
        <f t="shared" si="21"/>
        <v>0</v>
      </c>
      <c r="AR45" s="498">
        <f t="shared" si="22"/>
        <v>0</v>
      </c>
      <c r="AS45" s="499">
        <f t="shared" si="23"/>
        <v>0</v>
      </c>
      <c r="AT45" s="496">
        <f t="shared" si="76"/>
        <v>0</v>
      </c>
      <c r="AU45" s="497">
        <f t="shared" si="76"/>
        <v>0</v>
      </c>
      <c r="AV45" s="502">
        <f t="shared" si="76"/>
        <v>0</v>
      </c>
      <c r="AW45" s="257"/>
      <c r="AX45" s="260"/>
      <c r="AY45" s="495" t="s">
        <v>102</v>
      </c>
      <c r="AZ45" s="496">
        <f>$L103/1000</f>
        <v>0</v>
      </c>
      <c r="BA45" s="497">
        <f t="shared" si="77"/>
        <v>0</v>
      </c>
      <c r="BB45" s="498">
        <f t="shared" si="65"/>
        <v>0</v>
      </c>
      <c r="BC45" s="498">
        <f t="shared" si="66"/>
        <v>0</v>
      </c>
      <c r="BD45" s="496">
        <f t="shared" si="24"/>
        <v>0</v>
      </c>
      <c r="BE45" s="497">
        <f t="shared" si="25"/>
        <v>0</v>
      </c>
      <c r="BF45" s="502">
        <f t="shared" si="26"/>
        <v>0</v>
      </c>
      <c r="BG45" s="496">
        <f t="shared" si="59"/>
        <v>0</v>
      </c>
      <c r="BH45" s="497">
        <f t="shared" si="60"/>
        <v>0</v>
      </c>
      <c r="BI45" s="502">
        <f t="shared" si="61"/>
        <v>0</v>
      </c>
      <c r="BJ45" s="257"/>
      <c r="BK45" s="260"/>
      <c r="BL45" s="495" t="s">
        <v>102</v>
      </c>
      <c r="BM45" s="496">
        <f>$L128/1000</f>
        <v>0</v>
      </c>
      <c r="BN45" s="497">
        <f t="shared" si="78"/>
        <v>0</v>
      </c>
      <c r="BO45" s="498">
        <f t="shared" si="46"/>
        <v>0</v>
      </c>
      <c r="BP45" s="498">
        <f t="shared" si="47"/>
        <v>0</v>
      </c>
      <c r="BQ45" s="518">
        <f t="shared" si="29"/>
        <v>0</v>
      </c>
      <c r="BR45" s="498">
        <f t="shared" si="30"/>
        <v>0</v>
      </c>
      <c r="BS45" s="499">
        <f t="shared" si="31"/>
        <v>0</v>
      </c>
      <c r="BT45" s="496">
        <f t="shared" si="62"/>
        <v>0</v>
      </c>
      <c r="BU45" s="497">
        <f t="shared" si="63"/>
        <v>0</v>
      </c>
      <c r="BV45" s="502">
        <f t="shared" si="64"/>
        <v>0</v>
      </c>
    </row>
    <row r="46" spans="3:78" ht="12.75" customHeight="1">
      <c r="C46" s="135" t="str">
        <f ca="1">+IF(OFFSET(Processes!B27,$D$11,0)="*","*",OFFSET(Processes!D27,$D$11,0))</f>
        <v>AGRCOBELCE1</v>
      </c>
      <c r="D46" s="135" t="str">
        <f ca="1">+OFFSET(Processes!E27,$D$11,0)</f>
        <v>Agriculture Heat High Temp. Boiler - Electricity Existing 1</v>
      </c>
      <c r="E46" s="158" t="str">
        <f>+Processes!O27</f>
        <v>AGRELC</v>
      </c>
      <c r="F46" s="156" t="str">
        <f>Commodities!$D$7</f>
        <v>AGDCO</v>
      </c>
      <c r="G46" s="291">
        <f>AN46/($Z46*$AA46)*G$21*W46</f>
        <v>0</v>
      </c>
      <c r="H46" s="291">
        <f t="shared" si="67"/>
        <v>0</v>
      </c>
      <c r="I46" s="291">
        <f t="shared" si="67"/>
        <v>0</v>
      </c>
      <c r="J46" s="291">
        <f>BA46/($Z46*$AA46)*J$21*W46</f>
        <v>0</v>
      </c>
      <c r="K46" s="291">
        <f t="shared" si="68"/>
        <v>0</v>
      </c>
      <c r="L46" s="291">
        <f t="shared" si="68"/>
        <v>0</v>
      </c>
      <c r="M46" s="291">
        <f t="shared" si="69"/>
        <v>0</v>
      </c>
      <c r="N46" s="291">
        <f t="shared" si="69"/>
        <v>0</v>
      </c>
      <c r="O46" s="291">
        <f t="shared" si="69"/>
        <v>0</v>
      </c>
      <c r="P46" s="291">
        <f t="shared" si="2"/>
        <v>0</v>
      </c>
      <c r="Q46" s="291">
        <f t="shared" si="3"/>
        <v>0</v>
      </c>
      <c r="R46" s="291">
        <f t="shared" si="4"/>
        <v>0</v>
      </c>
      <c r="S46" s="291">
        <f t="shared" si="5"/>
        <v>0</v>
      </c>
      <c r="T46" s="291">
        <f t="shared" si="6"/>
        <v>0</v>
      </c>
      <c r="U46" s="291">
        <f t="shared" si="7"/>
        <v>0</v>
      </c>
      <c r="V46" s="494">
        <v>5</v>
      </c>
      <c r="W46" s="308">
        <f>M147</f>
        <v>0.91237999999999997</v>
      </c>
      <c r="X46" s="460">
        <f t="shared" si="70"/>
        <v>0.91237999999999997</v>
      </c>
      <c r="Y46" s="460">
        <f t="shared" si="70"/>
        <v>0.91237999999999997</v>
      </c>
      <c r="Z46" s="154">
        <f t="shared" si="54"/>
        <v>3.1536000000000002E-2</v>
      </c>
      <c r="AA46" s="344">
        <f t="shared" si="71"/>
        <v>0.5</v>
      </c>
      <c r="AB46" s="251">
        <v>20</v>
      </c>
      <c r="AC46" s="242"/>
      <c r="AD46" s="242"/>
      <c r="AE46" s="246"/>
      <c r="AF46" s="257"/>
      <c r="AG46" s="217">
        <f t="shared" si="72"/>
        <v>0</v>
      </c>
      <c r="AH46" s="217">
        <f t="shared" si="73"/>
        <v>0</v>
      </c>
      <c r="AI46" s="217">
        <f t="shared" si="74"/>
        <v>0</v>
      </c>
      <c r="AK46" s="317"/>
      <c r="AL46" s="503" t="s">
        <v>61</v>
      </c>
      <c r="AM46" s="504">
        <f>M78/1000</f>
        <v>0</v>
      </c>
      <c r="AN46" s="497">
        <f t="shared" ref="AN46:AN48" si="81">AM46*$AN$23</f>
        <v>0</v>
      </c>
      <c r="AO46" s="498">
        <f t="shared" si="55"/>
        <v>0</v>
      </c>
      <c r="AP46" s="498">
        <f t="shared" si="56"/>
        <v>0</v>
      </c>
      <c r="AQ46" s="522">
        <f t="shared" si="21"/>
        <v>0</v>
      </c>
      <c r="AR46" s="512">
        <f>IFERROR(H46*$Z46*$AA46/H$21,0)</f>
        <v>0</v>
      </c>
      <c r="AS46" s="513">
        <f t="shared" si="23"/>
        <v>0</v>
      </c>
      <c r="AT46" s="504">
        <f t="shared" si="76"/>
        <v>0</v>
      </c>
      <c r="AU46" s="505">
        <f t="shared" si="76"/>
        <v>0</v>
      </c>
      <c r="AV46" s="506">
        <f t="shared" si="76"/>
        <v>0</v>
      </c>
      <c r="AW46" s="257"/>
      <c r="AX46" s="317"/>
      <c r="AY46" s="503" t="s">
        <v>61</v>
      </c>
      <c r="AZ46" s="504">
        <f>M103/1000</f>
        <v>0</v>
      </c>
      <c r="BA46" s="512">
        <f t="shared" si="77"/>
        <v>0</v>
      </c>
      <c r="BB46" s="512">
        <f>AZ46*$BB$23</f>
        <v>0</v>
      </c>
      <c r="BC46" s="512">
        <f>AZ46*$BC$23</f>
        <v>0</v>
      </c>
      <c r="BD46" s="504">
        <f>IFERROR(J46*$Z46*AA46/J$21,0)</f>
        <v>0</v>
      </c>
      <c r="BE46" s="505">
        <f t="shared" si="25"/>
        <v>0</v>
      </c>
      <c r="BF46" s="506">
        <f>IFERROR(L46*$Z46*AA46/L$21,0)</f>
        <v>0</v>
      </c>
      <c r="BG46" s="504">
        <f t="shared" si="59"/>
        <v>0</v>
      </c>
      <c r="BH46" s="505">
        <f t="shared" si="60"/>
        <v>0</v>
      </c>
      <c r="BI46" s="506">
        <f t="shared" si="61"/>
        <v>0</v>
      </c>
      <c r="BJ46" s="257"/>
      <c r="BK46" s="317"/>
      <c r="BL46" s="503" t="s">
        <v>61</v>
      </c>
      <c r="BM46" s="504">
        <f>M128/1000</f>
        <v>0</v>
      </c>
      <c r="BN46" s="512">
        <f t="shared" si="78"/>
        <v>0</v>
      </c>
      <c r="BO46" s="512">
        <f t="shared" si="46"/>
        <v>0</v>
      </c>
      <c r="BP46" s="512">
        <f>BM46*$BC$23</f>
        <v>0</v>
      </c>
      <c r="BQ46" s="522">
        <f t="shared" si="29"/>
        <v>0</v>
      </c>
      <c r="BR46" s="512">
        <f t="shared" si="30"/>
        <v>0</v>
      </c>
      <c r="BS46" s="513">
        <f t="shared" si="31"/>
        <v>0</v>
      </c>
      <c r="BT46" s="504">
        <f t="shared" si="62"/>
        <v>0</v>
      </c>
      <c r="BU46" s="505">
        <f t="shared" si="63"/>
        <v>0</v>
      </c>
      <c r="BV46" s="506">
        <f t="shared" si="64"/>
        <v>0</v>
      </c>
    </row>
    <row r="47" spans="3:78" ht="12.75" customHeight="1">
      <c r="C47" s="157" t="str">
        <f ca="1">+IF(OFFSET(Processes!B28,$D$11,0)="*","*",OFFSET(Processes!D28,$D$11,0))</f>
        <v>AGRSHBNGAE1</v>
      </c>
      <c r="D47" s="133" t="str">
        <f ca="1">+OFFSET(Processes!E28,$D$11,0)</f>
        <v>Agriculture Heat Room Boiler - Nat. Gas Existing 1</v>
      </c>
      <c r="E47" s="136" t="str">
        <f>+Processes!O28</f>
        <v>AGRSNG1,AGRSNG2,AGRNGA</v>
      </c>
      <c r="F47" s="136" t="str">
        <f>Commodities!$D$8</f>
        <v>AGDSH</v>
      </c>
      <c r="G47" s="289">
        <f t="shared" si="67"/>
        <v>0</v>
      </c>
      <c r="H47" s="289">
        <f t="shared" si="67"/>
        <v>0</v>
      </c>
      <c r="I47" s="289">
        <f t="shared" si="67"/>
        <v>0</v>
      </c>
      <c r="J47" s="289">
        <f t="shared" si="68"/>
        <v>0</v>
      </c>
      <c r="K47" s="289">
        <f t="shared" si="68"/>
        <v>0</v>
      </c>
      <c r="L47" s="289">
        <f t="shared" si="68"/>
        <v>0</v>
      </c>
      <c r="M47" s="290">
        <f t="shared" si="69"/>
        <v>0</v>
      </c>
      <c r="N47" s="290">
        <f t="shared" si="69"/>
        <v>0</v>
      </c>
      <c r="O47" s="290">
        <f t="shared" si="69"/>
        <v>0</v>
      </c>
      <c r="P47" s="289">
        <f t="shared" si="2"/>
        <v>0</v>
      </c>
      <c r="Q47" s="289">
        <f t="shared" si="3"/>
        <v>0</v>
      </c>
      <c r="R47" s="289">
        <f t="shared" si="4"/>
        <v>0</v>
      </c>
      <c r="S47" s="289">
        <f t="shared" si="5"/>
        <v>0</v>
      </c>
      <c r="T47" s="289">
        <f t="shared" si="6"/>
        <v>0</v>
      </c>
      <c r="U47" s="289">
        <f t="shared" si="7"/>
        <v>0</v>
      </c>
      <c r="V47" s="289">
        <v>5</v>
      </c>
      <c r="W47" s="306">
        <f>I151</f>
        <v>1.02</v>
      </c>
      <c r="X47" s="459">
        <f t="shared" si="70"/>
        <v>1.02</v>
      </c>
      <c r="Y47" s="459">
        <f t="shared" si="70"/>
        <v>1.02</v>
      </c>
      <c r="Z47" s="153">
        <f t="shared" si="54"/>
        <v>3.1536000000000002E-2</v>
      </c>
      <c r="AA47" s="345">
        <f t="shared" si="71"/>
        <v>0.5</v>
      </c>
      <c r="AB47" s="252">
        <v>20</v>
      </c>
      <c r="AC47" s="243"/>
      <c r="AD47" s="241"/>
      <c r="AE47" s="247"/>
      <c r="AF47" s="257"/>
      <c r="AG47" s="217">
        <f t="shared" si="72"/>
        <v>0</v>
      </c>
      <c r="AH47" s="217">
        <f t="shared" si="73"/>
        <v>0</v>
      </c>
      <c r="AI47" s="217">
        <f t="shared" si="74"/>
        <v>0</v>
      </c>
      <c r="AK47" s="466" t="str">
        <f>F47</f>
        <v>AGDSH</v>
      </c>
      <c r="AL47" s="507" t="s">
        <v>97</v>
      </c>
      <c r="AM47" s="508">
        <f>I82/1000</f>
        <v>0</v>
      </c>
      <c r="AN47" s="510">
        <f t="shared" si="81"/>
        <v>0</v>
      </c>
      <c r="AO47" s="498">
        <f t="shared" si="55"/>
        <v>0</v>
      </c>
      <c r="AP47" s="498">
        <f t="shared" si="56"/>
        <v>0</v>
      </c>
      <c r="AQ47" s="518">
        <f t="shared" si="21"/>
        <v>0</v>
      </c>
      <c r="AR47" s="498">
        <f t="shared" si="22"/>
        <v>0</v>
      </c>
      <c r="AS47" s="499">
        <f t="shared" si="23"/>
        <v>0</v>
      </c>
      <c r="AT47" s="508">
        <f t="shared" si="76"/>
        <v>0</v>
      </c>
      <c r="AU47" s="510">
        <f t="shared" si="76"/>
        <v>0</v>
      </c>
      <c r="AV47" s="511">
        <f t="shared" si="76"/>
        <v>0</v>
      </c>
      <c r="AW47" s="257"/>
      <c r="AX47" s="466" t="str">
        <f t="shared" si="13"/>
        <v>AGDSH</v>
      </c>
      <c r="AY47" s="507" t="s">
        <v>97</v>
      </c>
      <c r="AZ47" s="508">
        <f>I107/1000</f>
        <v>0</v>
      </c>
      <c r="BA47" s="510">
        <f t="shared" si="77"/>
        <v>0</v>
      </c>
      <c r="BB47" s="498">
        <f t="shared" si="65"/>
        <v>0</v>
      </c>
      <c r="BC47" s="498">
        <f t="shared" si="66"/>
        <v>0</v>
      </c>
      <c r="BD47" s="508">
        <f t="shared" si="24"/>
        <v>0</v>
      </c>
      <c r="BE47" s="510">
        <f t="shared" si="25"/>
        <v>0</v>
      </c>
      <c r="BF47" s="511">
        <f t="shared" si="26"/>
        <v>0</v>
      </c>
      <c r="BG47" s="508">
        <f t="shared" si="59"/>
        <v>0</v>
      </c>
      <c r="BH47" s="510">
        <f t="shared" si="60"/>
        <v>0</v>
      </c>
      <c r="BI47" s="511">
        <f t="shared" si="61"/>
        <v>0</v>
      </c>
      <c r="BJ47" s="257"/>
      <c r="BK47" s="466" t="str">
        <f>AK47</f>
        <v>AGDSH</v>
      </c>
      <c r="BL47" s="507" t="s">
        <v>97</v>
      </c>
      <c r="BM47" s="508">
        <f>I132/1000</f>
        <v>0</v>
      </c>
      <c r="BN47" s="510">
        <f t="shared" si="78"/>
        <v>0</v>
      </c>
      <c r="BO47" s="498">
        <f t="shared" si="46"/>
        <v>0</v>
      </c>
      <c r="BP47" s="498">
        <f t="shared" si="47"/>
        <v>0</v>
      </c>
      <c r="BQ47" s="518">
        <f t="shared" si="29"/>
        <v>0</v>
      </c>
      <c r="BR47" s="498">
        <f t="shared" si="30"/>
        <v>0</v>
      </c>
      <c r="BS47" s="499">
        <f t="shared" si="31"/>
        <v>0</v>
      </c>
      <c r="BT47" s="508">
        <f t="shared" si="62"/>
        <v>0</v>
      </c>
      <c r="BU47" s="510">
        <f t="shared" si="63"/>
        <v>0</v>
      </c>
      <c r="BV47" s="511">
        <f t="shared" si="64"/>
        <v>0</v>
      </c>
    </row>
    <row r="48" spans="3:78" ht="12.75" customHeight="1">
      <c r="C48" s="157" t="str">
        <f ca="1">+IF(OFFSET(Processes!B29,$D$11,0)="*","*",OFFSET(Processes!D29,$D$11,0))</f>
        <v>AGRSHBCOAE1</v>
      </c>
      <c r="D48" s="133" t="str">
        <f ca="1">+OFFSET(Processes!E29,$D$11,0)</f>
        <v>Agriculture Heat Room Boiler - Coal Existing 1</v>
      </c>
      <c r="E48" s="136" t="str">
        <f>+Processes!O29</f>
        <v>AGRCOA</v>
      </c>
      <c r="F48" s="136" t="str">
        <f>Commodities!$D$8</f>
        <v>AGDSH</v>
      </c>
      <c r="G48" s="289">
        <f t="shared" si="67"/>
        <v>0</v>
      </c>
      <c r="H48" s="289">
        <f t="shared" si="67"/>
        <v>0</v>
      </c>
      <c r="I48" s="289">
        <f t="shared" si="67"/>
        <v>0</v>
      </c>
      <c r="J48" s="289">
        <f t="shared" si="68"/>
        <v>0</v>
      </c>
      <c r="K48" s="289">
        <f t="shared" si="68"/>
        <v>0</v>
      </c>
      <c r="L48" s="289">
        <f t="shared" si="68"/>
        <v>0</v>
      </c>
      <c r="M48" s="289">
        <f t="shared" si="69"/>
        <v>0</v>
      </c>
      <c r="N48" s="289">
        <f t="shared" si="69"/>
        <v>0</v>
      </c>
      <c r="O48" s="289">
        <f t="shared" si="69"/>
        <v>0</v>
      </c>
      <c r="P48" s="289">
        <f t="shared" si="2"/>
        <v>0</v>
      </c>
      <c r="Q48" s="289">
        <f t="shared" si="3"/>
        <v>0</v>
      </c>
      <c r="R48" s="289">
        <f t="shared" si="4"/>
        <v>0</v>
      </c>
      <c r="S48" s="289">
        <f t="shared" si="5"/>
        <v>0</v>
      </c>
      <c r="T48" s="289">
        <f t="shared" si="6"/>
        <v>0</v>
      </c>
      <c r="U48" s="289">
        <f t="shared" si="7"/>
        <v>0</v>
      </c>
      <c r="V48" s="289">
        <v>5</v>
      </c>
      <c r="W48" s="306">
        <f>D151</f>
        <v>0.95</v>
      </c>
      <c r="X48" s="459">
        <f t="shared" si="70"/>
        <v>0.95</v>
      </c>
      <c r="Y48" s="459">
        <f t="shared" si="70"/>
        <v>0.95</v>
      </c>
      <c r="Z48" s="153">
        <f t="shared" si="54"/>
        <v>3.1536000000000002E-2</v>
      </c>
      <c r="AA48" s="343">
        <f t="shared" si="71"/>
        <v>0.5</v>
      </c>
      <c r="AB48" s="250">
        <v>20</v>
      </c>
      <c r="AC48" s="243"/>
      <c r="AD48" s="241"/>
      <c r="AE48" s="247"/>
      <c r="AF48" s="257"/>
      <c r="AG48" s="217">
        <f t="shared" si="72"/>
        <v>0</v>
      </c>
      <c r="AH48" s="217">
        <f t="shared" si="73"/>
        <v>0</v>
      </c>
      <c r="AI48" s="217">
        <f t="shared" si="74"/>
        <v>0</v>
      </c>
      <c r="AK48" s="318"/>
      <c r="AL48" s="495" t="s">
        <v>98</v>
      </c>
      <c r="AM48" s="496">
        <f>D82/1000</f>
        <v>0</v>
      </c>
      <c r="AN48" s="497">
        <f t="shared" si="81"/>
        <v>0</v>
      </c>
      <c r="AO48" s="498">
        <f t="shared" si="55"/>
        <v>0</v>
      </c>
      <c r="AP48" s="498">
        <f t="shared" si="56"/>
        <v>0</v>
      </c>
      <c r="AQ48" s="518">
        <f t="shared" si="21"/>
        <v>0</v>
      </c>
      <c r="AR48" s="498">
        <f t="shared" si="22"/>
        <v>0</v>
      </c>
      <c r="AS48" s="499">
        <f t="shared" si="23"/>
        <v>0</v>
      </c>
      <c r="AT48" s="496">
        <f t="shared" si="76"/>
        <v>0</v>
      </c>
      <c r="AU48" s="497">
        <f t="shared" si="76"/>
        <v>0</v>
      </c>
      <c r="AV48" s="502">
        <f t="shared" si="76"/>
        <v>0</v>
      </c>
      <c r="AW48" s="257"/>
      <c r="AX48" s="318"/>
      <c r="AY48" s="495" t="s">
        <v>98</v>
      </c>
      <c r="AZ48" s="496">
        <f>D107/1000</f>
        <v>0</v>
      </c>
      <c r="BA48" s="497">
        <f t="shared" si="77"/>
        <v>0</v>
      </c>
      <c r="BB48" s="498">
        <f t="shared" si="65"/>
        <v>0</v>
      </c>
      <c r="BC48" s="498">
        <f t="shared" si="66"/>
        <v>0</v>
      </c>
      <c r="BD48" s="496">
        <f t="shared" si="24"/>
        <v>0</v>
      </c>
      <c r="BE48" s="497">
        <f t="shared" si="25"/>
        <v>0</v>
      </c>
      <c r="BF48" s="502">
        <f t="shared" si="26"/>
        <v>0</v>
      </c>
      <c r="BG48" s="496">
        <f t="shared" si="59"/>
        <v>0</v>
      </c>
      <c r="BH48" s="497">
        <f t="shared" si="60"/>
        <v>0</v>
      </c>
      <c r="BI48" s="502">
        <f t="shared" si="61"/>
        <v>0</v>
      </c>
      <c r="BJ48" s="257"/>
      <c r="BK48" s="318"/>
      <c r="BL48" s="495" t="s">
        <v>98</v>
      </c>
      <c r="BM48" s="496">
        <f>D132/1000</f>
        <v>0</v>
      </c>
      <c r="BN48" s="497">
        <f t="shared" si="78"/>
        <v>0</v>
      </c>
      <c r="BO48" s="498">
        <f t="shared" si="46"/>
        <v>0</v>
      </c>
      <c r="BP48" s="498">
        <f t="shared" si="47"/>
        <v>0</v>
      </c>
      <c r="BQ48" s="518">
        <f t="shared" si="29"/>
        <v>0</v>
      </c>
      <c r="BR48" s="498">
        <f t="shared" si="30"/>
        <v>0</v>
      </c>
      <c r="BS48" s="499">
        <f t="shared" si="31"/>
        <v>0</v>
      </c>
      <c r="BT48" s="496">
        <f t="shared" si="62"/>
        <v>0</v>
      </c>
      <c r="BU48" s="497">
        <f t="shared" si="63"/>
        <v>0</v>
      </c>
      <c r="BV48" s="502">
        <f t="shared" si="64"/>
        <v>0</v>
      </c>
    </row>
    <row r="49" spans="3:78" ht="12.75" customHeight="1">
      <c r="C49" s="157" t="str">
        <f ca="1">+IF(OFFSET(Processes!B30,$D$11,0)="*","*",OFFSET(Processes!D30,$D$11,0))</f>
        <v>AGRSHBDSLE1</v>
      </c>
      <c r="D49" s="133" t="str">
        <f ca="1">+OFFSET(Processes!E30,$D$11,0)</f>
        <v>Agriculture Heat Room Boiler - Diesel Existing 1</v>
      </c>
      <c r="E49" s="136" t="str">
        <f>+Processes!O30</f>
        <v>AGRDSB1,AGRDSB2,AGRDSL</v>
      </c>
      <c r="F49" s="136" t="str">
        <f>Commodities!$D$8</f>
        <v>AGDSH</v>
      </c>
      <c r="G49" s="289">
        <f t="shared" si="67"/>
        <v>0</v>
      </c>
      <c r="H49" s="289">
        <f t="shared" si="67"/>
        <v>0</v>
      </c>
      <c r="I49" s="289">
        <f t="shared" si="67"/>
        <v>0</v>
      </c>
      <c r="J49" s="289">
        <f t="shared" si="68"/>
        <v>0</v>
      </c>
      <c r="K49" s="289">
        <f t="shared" si="68"/>
        <v>0</v>
      </c>
      <c r="L49" s="289">
        <f t="shared" si="68"/>
        <v>0</v>
      </c>
      <c r="M49" s="289">
        <f t="shared" si="69"/>
        <v>0</v>
      </c>
      <c r="N49" s="289">
        <f t="shared" si="69"/>
        <v>0</v>
      </c>
      <c r="O49" s="289">
        <f t="shared" si="69"/>
        <v>0</v>
      </c>
      <c r="P49" s="289">
        <f t="shared" si="2"/>
        <v>0</v>
      </c>
      <c r="Q49" s="289">
        <f t="shared" si="3"/>
        <v>0</v>
      </c>
      <c r="R49" s="289">
        <f t="shared" si="4"/>
        <v>0</v>
      </c>
      <c r="S49" s="289">
        <f t="shared" si="5"/>
        <v>0</v>
      </c>
      <c r="T49" s="289">
        <f t="shared" si="6"/>
        <v>0</v>
      </c>
      <c r="U49" s="289">
        <f t="shared" si="7"/>
        <v>0</v>
      </c>
      <c r="V49" s="289">
        <v>5</v>
      </c>
      <c r="W49" s="306">
        <f>F151</f>
        <v>0.96</v>
      </c>
      <c r="X49" s="459">
        <f t="shared" si="70"/>
        <v>0.96</v>
      </c>
      <c r="Y49" s="459">
        <f t="shared" si="70"/>
        <v>0.96</v>
      </c>
      <c r="Z49" s="153">
        <f t="shared" si="54"/>
        <v>3.1536000000000002E-2</v>
      </c>
      <c r="AA49" s="345">
        <f t="shared" si="71"/>
        <v>0.5</v>
      </c>
      <c r="AB49" s="252">
        <v>20</v>
      </c>
      <c r="AC49" s="243"/>
      <c r="AD49" s="241"/>
      <c r="AE49" s="247"/>
      <c r="AF49" s="257"/>
      <c r="AG49" s="217">
        <f t="shared" si="72"/>
        <v>0</v>
      </c>
      <c r="AH49" s="217">
        <f t="shared" si="73"/>
        <v>0</v>
      </c>
      <c r="AI49" s="217">
        <f t="shared" si="74"/>
        <v>0</v>
      </c>
      <c r="AK49" s="318"/>
      <c r="AL49" s="495" t="s">
        <v>59</v>
      </c>
      <c r="AM49" s="496">
        <f>F82/1000</f>
        <v>0</v>
      </c>
      <c r="AN49" s="497">
        <f t="shared" ref="AN49:AN62" si="82">AM49*$AN$23</f>
        <v>0</v>
      </c>
      <c r="AO49" s="498">
        <f t="shared" ref="AO49:AO62" si="83">AM49*$AO$23</f>
        <v>0</v>
      </c>
      <c r="AP49" s="498">
        <f t="shared" ref="AP49:AP62" si="84">AM49*$AP$23</f>
        <v>0</v>
      </c>
      <c r="AQ49" s="518">
        <f t="shared" si="21"/>
        <v>0</v>
      </c>
      <c r="AR49" s="498">
        <f t="shared" si="22"/>
        <v>0</v>
      </c>
      <c r="AS49" s="499">
        <f t="shared" si="23"/>
        <v>0</v>
      </c>
      <c r="AT49" s="496">
        <f t="shared" si="76"/>
        <v>0</v>
      </c>
      <c r="AU49" s="497">
        <f t="shared" si="76"/>
        <v>0</v>
      </c>
      <c r="AV49" s="502">
        <f t="shared" si="76"/>
        <v>0</v>
      </c>
      <c r="AW49" s="257"/>
      <c r="AX49" s="318"/>
      <c r="AY49" s="495" t="s">
        <v>59</v>
      </c>
      <c r="AZ49" s="496">
        <f>F107/1000</f>
        <v>0</v>
      </c>
      <c r="BA49" s="497">
        <f t="shared" si="77"/>
        <v>0</v>
      </c>
      <c r="BB49" s="498">
        <f t="shared" si="65"/>
        <v>0</v>
      </c>
      <c r="BC49" s="498">
        <f t="shared" si="66"/>
        <v>0</v>
      </c>
      <c r="BD49" s="496">
        <f t="shared" si="24"/>
        <v>0</v>
      </c>
      <c r="BE49" s="497">
        <f t="shared" si="25"/>
        <v>0</v>
      </c>
      <c r="BF49" s="502">
        <f t="shared" si="26"/>
        <v>0</v>
      </c>
      <c r="BG49" s="496">
        <f t="shared" si="59"/>
        <v>0</v>
      </c>
      <c r="BH49" s="497">
        <f t="shared" si="60"/>
        <v>0</v>
      </c>
      <c r="BI49" s="502">
        <f t="shared" si="61"/>
        <v>0</v>
      </c>
      <c r="BJ49" s="257"/>
      <c r="BK49" s="318"/>
      <c r="BL49" s="495" t="s">
        <v>59</v>
      </c>
      <c r="BM49" s="496">
        <f>F132/1000</f>
        <v>0</v>
      </c>
      <c r="BN49" s="497">
        <f t="shared" si="78"/>
        <v>0</v>
      </c>
      <c r="BO49" s="498">
        <f t="shared" si="46"/>
        <v>0</v>
      </c>
      <c r="BP49" s="498">
        <f t="shared" si="47"/>
        <v>0</v>
      </c>
      <c r="BQ49" s="518">
        <f t="shared" si="29"/>
        <v>0</v>
      </c>
      <c r="BR49" s="498">
        <f t="shared" si="30"/>
        <v>0</v>
      </c>
      <c r="BS49" s="499">
        <f t="shared" si="31"/>
        <v>0</v>
      </c>
      <c r="BT49" s="496">
        <f t="shared" si="62"/>
        <v>0</v>
      </c>
      <c r="BU49" s="497">
        <f t="shared" si="63"/>
        <v>0</v>
      </c>
      <c r="BV49" s="502">
        <f t="shared" si="64"/>
        <v>0</v>
      </c>
    </row>
    <row r="50" spans="3:78" ht="12.75" customHeight="1">
      <c r="C50" s="157" t="str">
        <f ca="1">+IF(OFFSET(Processes!B31,$D$11,0)="*","*",OFFSET(Processes!D31,$D$11,0))</f>
        <v>AGRSHBWPEE1</v>
      </c>
      <c r="D50" s="133" t="str">
        <f ca="1">+OFFSET(Processes!E31,$D$11,0)</f>
        <v>Agriculture Heat Room Boiler - Wood Pellets Existing 1</v>
      </c>
      <c r="E50" s="136" t="str">
        <f>+Processes!O31</f>
        <v>AGRWPE</v>
      </c>
      <c r="F50" s="136" t="str">
        <f>Commodities!$D$8</f>
        <v>AGDSH</v>
      </c>
      <c r="G50" s="288">
        <f t="shared" si="67"/>
        <v>0</v>
      </c>
      <c r="H50" s="288">
        <f t="shared" si="67"/>
        <v>0</v>
      </c>
      <c r="I50" s="288">
        <f t="shared" si="67"/>
        <v>0</v>
      </c>
      <c r="J50" s="288">
        <f t="shared" si="68"/>
        <v>0</v>
      </c>
      <c r="K50" s="288">
        <f t="shared" si="68"/>
        <v>0</v>
      </c>
      <c r="L50" s="288">
        <f t="shared" si="68"/>
        <v>0</v>
      </c>
      <c r="M50" s="288">
        <f t="shared" si="69"/>
        <v>0</v>
      </c>
      <c r="N50" s="288">
        <f t="shared" si="69"/>
        <v>0</v>
      </c>
      <c r="O50" s="288">
        <f t="shared" si="69"/>
        <v>0</v>
      </c>
      <c r="P50" s="289">
        <f t="shared" si="2"/>
        <v>0</v>
      </c>
      <c r="Q50" s="289">
        <f t="shared" si="3"/>
        <v>0</v>
      </c>
      <c r="R50" s="289">
        <f t="shared" si="4"/>
        <v>0</v>
      </c>
      <c r="S50" s="288">
        <f t="shared" si="5"/>
        <v>0</v>
      </c>
      <c r="T50" s="288">
        <f t="shared" si="6"/>
        <v>0</v>
      </c>
      <c r="U50" s="288">
        <f t="shared" si="7"/>
        <v>0</v>
      </c>
      <c r="V50" s="288">
        <v>5</v>
      </c>
      <c r="W50" s="306">
        <f>K151</f>
        <v>0.85</v>
      </c>
      <c r="X50" s="459">
        <f t="shared" si="70"/>
        <v>0.85</v>
      </c>
      <c r="Y50" s="459">
        <f t="shared" si="70"/>
        <v>0.85</v>
      </c>
      <c r="Z50" s="153">
        <f t="shared" si="54"/>
        <v>3.1536000000000002E-2</v>
      </c>
      <c r="AA50" s="345">
        <f t="shared" si="71"/>
        <v>0.5</v>
      </c>
      <c r="AB50" s="252">
        <v>20</v>
      </c>
      <c r="AC50" s="286">
        <v>0.5</v>
      </c>
      <c r="AD50" s="286">
        <v>0.5</v>
      </c>
      <c r="AE50" s="247">
        <v>5</v>
      </c>
      <c r="AF50" s="257"/>
      <c r="AG50" s="217">
        <f t="shared" si="72"/>
        <v>0</v>
      </c>
      <c r="AH50" s="217">
        <f t="shared" si="73"/>
        <v>0</v>
      </c>
      <c r="AI50" s="217">
        <f t="shared" si="74"/>
        <v>0</v>
      </c>
      <c r="AK50" s="318"/>
      <c r="AL50" s="495" t="s">
        <v>99</v>
      </c>
      <c r="AM50" s="496">
        <f>K82/1000</f>
        <v>0</v>
      </c>
      <c r="AN50" s="497">
        <f t="shared" si="82"/>
        <v>0</v>
      </c>
      <c r="AO50" s="498">
        <f t="shared" si="83"/>
        <v>0</v>
      </c>
      <c r="AP50" s="498">
        <f t="shared" si="84"/>
        <v>0</v>
      </c>
      <c r="AQ50" s="518">
        <f t="shared" si="21"/>
        <v>0</v>
      </c>
      <c r="AR50" s="498">
        <f t="shared" si="22"/>
        <v>0</v>
      </c>
      <c r="AS50" s="499">
        <f t="shared" si="23"/>
        <v>0</v>
      </c>
      <c r="AT50" s="496">
        <f t="shared" si="76"/>
        <v>0</v>
      </c>
      <c r="AU50" s="497">
        <f t="shared" si="76"/>
        <v>0</v>
      </c>
      <c r="AV50" s="502">
        <f t="shared" si="76"/>
        <v>0</v>
      </c>
      <c r="AW50" s="257"/>
      <c r="AX50" s="318"/>
      <c r="AY50" s="495" t="s">
        <v>99</v>
      </c>
      <c r="AZ50" s="496">
        <f>K107/1000</f>
        <v>0</v>
      </c>
      <c r="BA50" s="497">
        <f t="shared" si="77"/>
        <v>0</v>
      </c>
      <c r="BB50" s="498">
        <f t="shared" si="65"/>
        <v>0</v>
      </c>
      <c r="BC50" s="498">
        <f t="shared" si="66"/>
        <v>0</v>
      </c>
      <c r="BD50" s="496">
        <f t="shared" si="24"/>
        <v>0</v>
      </c>
      <c r="BE50" s="497">
        <f t="shared" si="25"/>
        <v>0</v>
      </c>
      <c r="BF50" s="502">
        <f t="shared" si="26"/>
        <v>0</v>
      </c>
      <c r="BG50" s="496">
        <f t="shared" si="59"/>
        <v>0</v>
      </c>
      <c r="BH50" s="497">
        <f t="shared" si="60"/>
        <v>0</v>
      </c>
      <c r="BI50" s="502">
        <f t="shared" si="61"/>
        <v>0</v>
      </c>
      <c r="BJ50" s="257"/>
      <c r="BK50" s="318"/>
      <c r="BL50" s="495" t="s">
        <v>99</v>
      </c>
      <c r="BM50" s="496">
        <f>K132/1000</f>
        <v>0</v>
      </c>
      <c r="BN50" s="497">
        <f t="shared" si="78"/>
        <v>0</v>
      </c>
      <c r="BO50" s="498">
        <f t="shared" si="46"/>
        <v>0</v>
      </c>
      <c r="BP50" s="498">
        <f t="shared" si="47"/>
        <v>0</v>
      </c>
      <c r="BQ50" s="518">
        <f t="shared" si="29"/>
        <v>0</v>
      </c>
      <c r="BR50" s="498">
        <f t="shared" si="30"/>
        <v>0</v>
      </c>
      <c r="BS50" s="499">
        <f t="shared" si="31"/>
        <v>0</v>
      </c>
      <c r="BT50" s="496">
        <f t="shared" si="62"/>
        <v>0</v>
      </c>
      <c r="BU50" s="497">
        <f t="shared" si="63"/>
        <v>0</v>
      </c>
      <c r="BV50" s="502">
        <f t="shared" si="64"/>
        <v>0</v>
      </c>
    </row>
    <row r="51" spans="3:78" ht="12.75" customHeight="1">
      <c r="C51" s="157"/>
      <c r="D51" s="133"/>
      <c r="E51" s="136" t="str">
        <f>+Processes!O32</f>
        <v>AGRWCH</v>
      </c>
      <c r="F51" s="136"/>
      <c r="G51" s="288"/>
      <c r="H51" s="288"/>
      <c r="I51" s="288"/>
      <c r="J51" s="288"/>
      <c r="K51" s="288"/>
      <c r="L51" s="288"/>
      <c r="M51" s="288"/>
      <c r="N51" s="288"/>
      <c r="O51" s="288"/>
      <c r="P51" s="289">
        <f t="shared" si="2"/>
        <v>0</v>
      </c>
      <c r="Q51" s="289">
        <f t="shared" si="3"/>
        <v>0</v>
      </c>
      <c r="R51" s="289">
        <f t="shared" si="4"/>
        <v>0</v>
      </c>
      <c r="S51" s="288">
        <f t="shared" si="5"/>
        <v>0</v>
      </c>
      <c r="T51" s="288">
        <f t="shared" si="6"/>
        <v>0</v>
      </c>
      <c r="U51" s="288">
        <f t="shared" si="7"/>
        <v>0</v>
      </c>
      <c r="V51" s="288" t="str">
        <f>IF(S51&gt;0,0.001,"")</f>
        <v/>
      </c>
      <c r="W51" s="306"/>
      <c r="X51" s="459"/>
      <c r="Y51" s="459"/>
      <c r="Z51" s="241"/>
      <c r="AA51" s="345"/>
      <c r="AB51" s="252"/>
      <c r="AC51" s="286">
        <f>1-AC50</f>
        <v>0.5</v>
      </c>
      <c r="AD51" s="286">
        <f>1-AD50</f>
        <v>0.5</v>
      </c>
      <c r="AE51" s="247">
        <v>5</v>
      </c>
      <c r="AF51" s="257"/>
      <c r="AG51" s="217"/>
      <c r="AH51" s="217"/>
      <c r="AI51" s="217"/>
      <c r="AK51" s="318"/>
      <c r="AL51" s="495" t="s">
        <v>106</v>
      </c>
      <c r="AM51" s="496"/>
      <c r="AN51" s="497">
        <f t="shared" si="82"/>
        <v>0</v>
      </c>
      <c r="AO51" s="498">
        <f t="shared" si="83"/>
        <v>0</v>
      </c>
      <c r="AP51" s="498">
        <f t="shared" si="84"/>
        <v>0</v>
      </c>
      <c r="AQ51" s="518">
        <f t="shared" si="21"/>
        <v>0</v>
      </c>
      <c r="AR51" s="498">
        <f t="shared" si="22"/>
        <v>0</v>
      </c>
      <c r="AS51" s="499">
        <f t="shared" si="23"/>
        <v>0</v>
      </c>
      <c r="AT51" s="496"/>
      <c r="AU51" s="497"/>
      <c r="AV51" s="502"/>
      <c r="AW51" s="257"/>
      <c r="AX51" s="318"/>
      <c r="AY51" s="495" t="s">
        <v>106</v>
      </c>
      <c r="AZ51" s="496"/>
      <c r="BA51" s="497"/>
      <c r="BB51" s="498">
        <f t="shared" si="65"/>
        <v>0</v>
      </c>
      <c r="BC51" s="498">
        <f t="shared" si="66"/>
        <v>0</v>
      </c>
      <c r="BD51" s="496">
        <f t="shared" si="24"/>
        <v>0</v>
      </c>
      <c r="BE51" s="497">
        <f t="shared" si="25"/>
        <v>0</v>
      </c>
      <c r="BF51" s="502">
        <f t="shared" si="26"/>
        <v>0</v>
      </c>
      <c r="BG51" s="496">
        <f t="shared" si="59"/>
        <v>0</v>
      </c>
      <c r="BH51" s="497">
        <f t="shared" si="60"/>
        <v>0</v>
      </c>
      <c r="BI51" s="502">
        <f t="shared" si="61"/>
        <v>0</v>
      </c>
      <c r="BJ51" s="257"/>
      <c r="BK51" s="318"/>
      <c r="BL51" s="495" t="s">
        <v>106</v>
      </c>
      <c r="BM51" s="496"/>
      <c r="BN51" s="497"/>
      <c r="BO51" s="498">
        <f t="shared" si="46"/>
        <v>0</v>
      </c>
      <c r="BP51" s="498">
        <f t="shared" si="47"/>
        <v>0</v>
      </c>
      <c r="BQ51" s="518">
        <f t="shared" si="29"/>
        <v>0</v>
      </c>
      <c r="BR51" s="498">
        <f t="shared" si="30"/>
        <v>0</v>
      </c>
      <c r="BS51" s="499">
        <f t="shared" si="31"/>
        <v>0</v>
      </c>
      <c r="BT51" s="496">
        <f t="shared" si="62"/>
        <v>0</v>
      </c>
      <c r="BU51" s="497">
        <f t="shared" si="63"/>
        <v>0</v>
      </c>
      <c r="BV51" s="502">
        <f t="shared" si="64"/>
        <v>0</v>
      </c>
    </row>
    <row r="52" spans="3:78" ht="12.75" customHeight="1">
      <c r="C52" s="157" t="str">
        <f ca="1">+IF(OFFSET(Processes!B33,$D$11,0)="*","*",OFFSET(Processes!D33,$D$11,0))</f>
        <v>AGRSHBBGAE1</v>
      </c>
      <c r="D52" s="133" t="str">
        <f ca="1">+OFFSET(Processes!E33,$D$11,0)</f>
        <v>Agriculture Heat Room Boiler - Biogas Existing 1</v>
      </c>
      <c r="E52" s="136" t="str">
        <f>+Processes!O33</f>
        <v>AGRBGA</v>
      </c>
      <c r="F52" s="136" t="str">
        <f>Commodities!$D$8</f>
        <v>AGDSH</v>
      </c>
      <c r="G52" s="289">
        <f t="shared" ref="G52:I56" si="85">AN52/($Z52*$AA52)*G$21*W52</f>
        <v>0</v>
      </c>
      <c r="H52" s="289">
        <f t="shared" si="85"/>
        <v>0</v>
      </c>
      <c r="I52" s="289">
        <f t="shared" si="85"/>
        <v>0</v>
      </c>
      <c r="J52" s="289">
        <f t="shared" ref="J52:L56" si="86">BA52/($Z52*$AA52)*J$21*W52</f>
        <v>0</v>
      </c>
      <c r="K52" s="289">
        <f t="shared" si="86"/>
        <v>0</v>
      </c>
      <c r="L52" s="289">
        <f t="shared" si="86"/>
        <v>0</v>
      </c>
      <c r="M52" s="289">
        <f t="shared" ref="M52:O56" si="87">BN52/($Z52*$AA52)*M$21*W52</f>
        <v>0</v>
      </c>
      <c r="N52" s="289">
        <f t="shared" si="87"/>
        <v>0</v>
      </c>
      <c r="O52" s="289">
        <f t="shared" si="87"/>
        <v>0</v>
      </c>
      <c r="P52" s="289">
        <f t="shared" si="2"/>
        <v>0</v>
      </c>
      <c r="Q52" s="289">
        <f t="shared" si="3"/>
        <v>0</v>
      </c>
      <c r="R52" s="289">
        <f t="shared" si="4"/>
        <v>0</v>
      </c>
      <c r="S52" s="289">
        <f t="shared" si="5"/>
        <v>0</v>
      </c>
      <c r="T52" s="289">
        <f t="shared" si="6"/>
        <v>0</v>
      </c>
      <c r="U52" s="289">
        <f t="shared" si="7"/>
        <v>0</v>
      </c>
      <c r="V52" s="289">
        <v>5</v>
      </c>
      <c r="W52" s="306">
        <f>J151</f>
        <v>1.02</v>
      </c>
      <c r="X52" s="459">
        <f t="shared" ref="X52:Y55" si="88">W52</f>
        <v>1.02</v>
      </c>
      <c r="Y52" s="459">
        <f t="shared" si="88"/>
        <v>1.02</v>
      </c>
      <c r="Z52" s="153">
        <f>3.6*8760/1000000</f>
        <v>3.1536000000000002E-2</v>
      </c>
      <c r="AA52" s="345">
        <f>$AA$26</f>
        <v>0.5</v>
      </c>
      <c r="AB52" s="252">
        <v>20</v>
      </c>
      <c r="AC52" s="243"/>
      <c r="AD52" s="241"/>
      <c r="AE52" s="247"/>
      <c r="AF52" s="257"/>
      <c r="AG52" s="217">
        <f t="shared" ref="AG52:AG60" si="89">((G52*Z52*AA52/W52)+(H52*Z52*AA52/X52))/$G$21</f>
        <v>0</v>
      </c>
      <c r="AH52" s="217">
        <f t="shared" ref="AH52:AH62" si="90">((J52*Z52*AA52/W52)+(K52*Z52*AA52/X52))/$J$21</f>
        <v>0</v>
      </c>
      <c r="AI52" s="217">
        <f t="shared" ref="AI52:AI62" si="91">((M52*AA52*Z52/W52)+(N52*Z52*AA52/X52))/$M$21</f>
        <v>0</v>
      </c>
      <c r="AK52" s="318"/>
      <c r="AL52" s="495" t="s">
        <v>100</v>
      </c>
      <c r="AM52" s="496">
        <f>J82/1000</f>
        <v>0</v>
      </c>
      <c r="AN52" s="497">
        <f t="shared" si="82"/>
        <v>0</v>
      </c>
      <c r="AO52" s="498">
        <f t="shared" si="83"/>
        <v>0</v>
      </c>
      <c r="AP52" s="498">
        <f t="shared" si="84"/>
        <v>0</v>
      </c>
      <c r="AQ52" s="518">
        <f t="shared" si="21"/>
        <v>0</v>
      </c>
      <c r="AR52" s="498">
        <f t="shared" si="22"/>
        <v>0</v>
      </c>
      <c r="AS52" s="499">
        <f t="shared" si="23"/>
        <v>0</v>
      </c>
      <c r="AT52" s="496">
        <f t="shared" ref="AT52:AV56" si="92">IFERROR(AQ52/W52,0)</f>
        <v>0</v>
      </c>
      <c r="AU52" s="497">
        <f t="shared" si="92"/>
        <v>0</v>
      </c>
      <c r="AV52" s="502">
        <f t="shared" si="92"/>
        <v>0</v>
      </c>
      <c r="AW52" s="257"/>
      <c r="AX52" s="318"/>
      <c r="AY52" s="495" t="s">
        <v>100</v>
      </c>
      <c r="AZ52" s="496">
        <f>J107/1000</f>
        <v>0</v>
      </c>
      <c r="BA52" s="497">
        <f>AZ52*$AN$23</f>
        <v>0</v>
      </c>
      <c r="BB52" s="498">
        <f t="shared" si="65"/>
        <v>0</v>
      </c>
      <c r="BC52" s="498">
        <f t="shared" si="66"/>
        <v>0</v>
      </c>
      <c r="BD52" s="496">
        <f t="shared" si="24"/>
        <v>0</v>
      </c>
      <c r="BE52" s="497">
        <f t="shared" si="25"/>
        <v>0</v>
      </c>
      <c r="BF52" s="502">
        <f t="shared" si="26"/>
        <v>0</v>
      </c>
      <c r="BG52" s="496">
        <f t="shared" si="59"/>
        <v>0</v>
      </c>
      <c r="BH52" s="497">
        <f t="shared" si="60"/>
        <v>0</v>
      </c>
      <c r="BI52" s="502">
        <f t="shared" si="61"/>
        <v>0</v>
      </c>
      <c r="BJ52" s="257"/>
      <c r="BK52" s="318"/>
      <c r="BL52" s="495" t="s">
        <v>100</v>
      </c>
      <c r="BM52" s="496">
        <f>J132/1000</f>
        <v>0</v>
      </c>
      <c r="BN52" s="497">
        <f>BM52*$AN$23</f>
        <v>0</v>
      </c>
      <c r="BO52" s="498">
        <f t="shared" si="46"/>
        <v>0</v>
      </c>
      <c r="BP52" s="498">
        <f t="shared" si="47"/>
        <v>0</v>
      </c>
      <c r="BQ52" s="518">
        <f t="shared" si="29"/>
        <v>0</v>
      </c>
      <c r="BR52" s="498">
        <f t="shared" si="30"/>
        <v>0</v>
      </c>
      <c r="BS52" s="499">
        <f t="shared" si="31"/>
        <v>0</v>
      </c>
      <c r="BT52" s="496">
        <f t="shared" si="62"/>
        <v>0</v>
      </c>
      <c r="BU52" s="497">
        <f t="shared" si="63"/>
        <v>0</v>
      </c>
      <c r="BV52" s="502">
        <f t="shared" si="64"/>
        <v>0</v>
      </c>
      <c r="BX52" s="339"/>
      <c r="BY52" s="339"/>
      <c r="BZ52" s="39"/>
    </row>
    <row r="53" spans="3:78" ht="12.75" customHeight="1">
      <c r="C53" s="157" t="str">
        <f ca="1">+IF(OFFSET(Processes!B34,$D$11,0)="*","*",OFFSET(Processes!D34,$D$11,0))</f>
        <v>AGRSHBHFOE1</v>
      </c>
      <c r="D53" s="133" t="str">
        <f ca="1">+OFFSET(Processes!E34,$D$11,0)</f>
        <v>Agriculture Heat Room Boiler - Heavy Fuel Oil Existing 1</v>
      </c>
      <c r="E53" s="136" t="str">
        <f>+Processes!O34</f>
        <v>AGRHFO</v>
      </c>
      <c r="F53" s="136" t="str">
        <f>Commodities!$D$8</f>
        <v>AGDSH</v>
      </c>
      <c r="G53" s="289">
        <f t="shared" si="85"/>
        <v>0</v>
      </c>
      <c r="H53" s="289">
        <f t="shared" si="85"/>
        <v>0</v>
      </c>
      <c r="I53" s="289">
        <f t="shared" si="85"/>
        <v>0</v>
      </c>
      <c r="J53" s="289">
        <f t="shared" si="86"/>
        <v>0</v>
      </c>
      <c r="K53" s="289">
        <f t="shared" si="86"/>
        <v>0</v>
      </c>
      <c r="L53" s="289">
        <f t="shared" si="86"/>
        <v>0</v>
      </c>
      <c r="M53" s="289">
        <f t="shared" si="87"/>
        <v>0</v>
      </c>
      <c r="N53" s="289">
        <f t="shared" si="87"/>
        <v>0</v>
      </c>
      <c r="O53" s="289">
        <f t="shared" si="87"/>
        <v>0</v>
      </c>
      <c r="P53" s="289">
        <f t="shared" si="2"/>
        <v>0</v>
      </c>
      <c r="Q53" s="289">
        <f t="shared" si="3"/>
        <v>0</v>
      </c>
      <c r="R53" s="289">
        <f t="shared" si="4"/>
        <v>0</v>
      </c>
      <c r="S53" s="289">
        <f t="shared" si="5"/>
        <v>0</v>
      </c>
      <c r="T53" s="289">
        <f t="shared" si="6"/>
        <v>0</v>
      </c>
      <c r="U53" s="289">
        <f t="shared" si="7"/>
        <v>0</v>
      </c>
      <c r="V53" s="289">
        <v>5</v>
      </c>
      <c r="W53" s="306">
        <f>E151</f>
        <v>0.95</v>
      </c>
      <c r="X53" s="459">
        <f t="shared" si="88"/>
        <v>0.95</v>
      </c>
      <c r="Y53" s="459">
        <f t="shared" si="88"/>
        <v>0.95</v>
      </c>
      <c r="Z53" s="153">
        <f>3.6*8760/1000000</f>
        <v>3.1536000000000002E-2</v>
      </c>
      <c r="AA53" s="345">
        <f>$AA$26</f>
        <v>0.5</v>
      </c>
      <c r="AB53" s="252">
        <v>20</v>
      </c>
      <c r="AC53" s="241"/>
      <c r="AD53" s="241"/>
      <c r="AE53" s="247"/>
      <c r="AF53" s="257"/>
      <c r="AG53" s="217">
        <f t="shared" si="89"/>
        <v>0</v>
      </c>
      <c r="AH53" s="217">
        <f t="shared" si="90"/>
        <v>0</v>
      </c>
      <c r="AI53" s="217">
        <f t="shared" si="91"/>
        <v>0</v>
      </c>
      <c r="AK53" s="318"/>
      <c r="AL53" s="495" t="s">
        <v>101</v>
      </c>
      <c r="AM53" s="496">
        <f>E82/1000</f>
        <v>0</v>
      </c>
      <c r="AN53" s="497">
        <f t="shared" si="82"/>
        <v>0</v>
      </c>
      <c r="AO53" s="498">
        <f t="shared" si="83"/>
        <v>0</v>
      </c>
      <c r="AP53" s="498">
        <f t="shared" si="84"/>
        <v>0</v>
      </c>
      <c r="AQ53" s="518">
        <f t="shared" si="21"/>
        <v>0</v>
      </c>
      <c r="AR53" s="498">
        <f t="shared" si="22"/>
        <v>0</v>
      </c>
      <c r="AS53" s="499">
        <f t="shared" si="23"/>
        <v>0</v>
      </c>
      <c r="AT53" s="496">
        <f t="shared" si="92"/>
        <v>0</v>
      </c>
      <c r="AU53" s="497">
        <f t="shared" si="92"/>
        <v>0</v>
      </c>
      <c r="AV53" s="502">
        <f t="shared" si="92"/>
        <v>0</v>
      </c>
      <c r="AW53" s="257"/>
      <c r="AX53" s="318"/>
      <c r="AY53" s="495" t="s">
        <v>101</v>
      </c>
      <c r="AZ53" s="496">
        <f>E107/1000</f>
        <v>0</v>
      </c>
      <c r="BA53" s="497">
        <f>AZ53*$AN$23</f>
        <v>0</v>
      </c>
      <c r="BB53" s="498">
        <f t="shared" si="65"/>
        <v>0</v>
      </c>
      <c r="BC53" s="498">
        <f t="shared" si="66"/>
        <v>0</v>
      </c>
      <c r="BD53" s="496">
        <f t="shared" si="24"/>
        <v>0</v>
      </c>
      <c r="BE53" s="497">
        <f t="shared" si="25"/>
        <v>0</v>
      </c>
      <c r="BF53" s="502">
        <f t="shared" si="26"/>
        <v>0</v>
      </c>
      <c r="BG53" s="496">
        <f t="shared" si="59"/>
        <v>0</v>
      </c>
      <c r="BH53" s="497">
        <f t="shared" si="60"/>
        <v>0</v>
      </c>
      <c r="BI53" s="502">
        <f t="shared" si="61"/>
        <v>0</v>
      </c>
      <c r="BJ53" s="257"/>
      <c r="BK53" s="318"/>
      <c r="BL53" s="495" t="s">
        <v>101</v>
      </c>
      <c r="BM53" s="496">
        <f>E132/1000</f>
        <v>0</v>
      </c>
      <c r="BN53" s="497">
        <f>BM53*$AN$23</f>
        <v>0</v>
      </c>
      <c r="BO53" s="498">
        <f t="shared" si="46"/>
        <v>0</v>
      </c>
      <c r="BP53" s="498">
        <f t="shared" si="47"/>
        <v>0</v>
      </c>
      <c r="BQ53" s="518">
        <f t="shared" si="29"/>
        <v>0</v>
      </c>
      <c r="BR53" s="498">
        <f t="shared" si="30"/>
        <v>0</v>
      </c>
      <c r="BS53" s="499">
        <f t="shared" si="31"/>
        <v>0</v>
      </c>
      <c r="BT53" s="496">
        <f t="shared" si="62"/>
        <v>0</v>
      </c>
      <c r="BU53" s="497">
        <f t="shared" si="63"/>
        <v>0</v>
      </c>
      <c r="BV53" s="502">
        <f t="shared" si="64"/>
        <v>0</v>
      </c>
      <c r="BY53" s="339"/>
      <c r="BZ53" s="257"/>
    </row>
    <row r="54" spans="3:78" ht="12.75" customHeight="1">
      <c r="C54" s="157" t="str">
        <f ca="1">+IF(OFFSET(Processes!B35,$D$11,0)="*","*",OFFSET(Processes!D35,$D$11,0))</f>
        <v>AGRSHBLPGE1</v>
      </c>
      <c r="D54" s="133" t="str">
        <f ca="1">+OFFSET(Processes!E35,$D$11,0)</f>
        <v>Agriculture Heat Room Boiler - Liquified Petroleum Gas Existing 1</v>
      </c>
      <c r="E54" s="136" t="str">
        <f>+Processes!O35</f>
        <v>AGRLPG</v>
      </c>
      <c r="F54" s="136" t="str">
        <f>Commodities!$D$8</f>
        <v>AGDSH</v>
      </c>
      <c r="G54" s="289">
        <f t="shared" si="85"/>
        <v>0</v>
      </c>
      <c r="H54" s="289">
        <f t="shared" si="85"/>
        <v>0</v>
      </c>
      <c r="I54" s="289">
        <f t="shared" si="85"/>
        <v>0</v>
      </c>
      <c r="J54" s="289">
        <f t="shared" si="86"/>
        <v>0</v>
      </c>
      <c r="K54" s="289">
        <f t="shared" si="86"/>
        <v>0</v>
      </c>
      <c r="L54" s="289">
        <f t="shared" si="86"/>
        <v>0</v>
      </c>
      <c r="M54" s="289">
        <f t="shared" si="87"/>
        <v>0</v>
      </c>
      <c r="N54" s="289">
        <f t="shared" si="87"/>
        <v>0</v>
      </c>
      <c r="O54" s="289">
        <f t="shared" si="87"/>
        <v>0</v>
      </c>
      <c r="P54" s="289">
        <f t="shared" si="2"/>
        <v>0</v>
      </c>
      <c r="Q54" s="289">
        <f t="shared" si="3"/>
        <v>0</v>
      </c>
      <c r="R54" s="289">
        <f t="shared" si="4"/>
        <v>0</v>
      </c>
      <c r="S54" s="289">
        <f t="shared" si="5"/>
        <v>0</v>
      </c>
      <c r="T54" s="289">
        <f t="shared" si="6"/>
        <v>0</v>
      </c>
      <c r="U54" s="289">
        <f t="shared" si="7"/>
        <v>0</v>
      </c>
      <c r="V54" s="289">
        <v>5</v>
      </c>
      <c r="W54" s="306">
        <f>H151</f>
        <v>1.02</v>
      </c>
      <c r="X54" s="459">
        <f t="shared" si="88"/>
        <v>1.02</v>
      </c>
      <c r="Y54" s="459">
        <f t="shared" si="88"/>
        <v>1.02</v>
      </c>
      <c r="Z54" s="153">
        <f>3.6*8760/1000000</f>
        <v>3.1536000000000002E-2</v>
      </c>
      <c r="AA54" s="345">
        <f>$AA$26</f>
        <v>0.5</v>
      </c>
      <c r="AB54" s="252">
        <v>20</v>
      </c>
      <c r="AC54" s="241"/>
      <c r="AD54" s="241"/>
      <c r="AE54" s="247"/>
      <c r="AF54" s="257"/>
      <c r="AG54" s="217">
        <f t="shared" si="89"/>
        <v>0</v>
      </c>
      <c r="AH54" s="217">
        <f t="shared" si="90"/>
        <v>0</v>
      </c>
      <c r="AI54" s="217">
        <f t="shared" si="91"/>
        <v>0</v>
      </c>
      <c r="AK54" s="318"/>
      <c r="AL54" s="495" t="s">
        <v>53</v>
      </c>
      <c r="AM54" s="496">
        <f>H82/1000</f>
        <v>0</v>
      </c>
      <c r="AN54" s="497">
        <f t="shared" si="82"/>
        <v>0</v>
      </c>
      <c r="AO54" s="498">
        <f t="shared" si="83"/>
        <v>0</v>
      </c>
      <c r="AP54" s="498">
        <f t="shared" si="84"/>
        <v>0</v>
      </c>
      <c r="AQ54" s="518">
        <f t="shared" si="21"/>
        <v>0</v>
      </c>
      <c r="AR54" s="498">
        <f t="shared" si="22"/>
        <v>0</v>
      </c>
      <c r="AS54" s="499">
        <f t="shared" si="23"/>
        <v>0</v>
      </c>
      <c r="AT54" s="496">
        <f t="shared" si="92"/>
        <v>0</v>
      </c>
      <c r="AU54" s="497">
        <f t="shared" si="92"/>
        <v>0</v>
      </c>
      <c r="AV54" s="502">
        <f t="shared" si="92"/>
        <v>0</v>
      </c>
      <c r="AW54" s="257"/>
      <c r="AX54" s="318"/>
      <c r="AY54" s="495" t="s">
        <v>53</v>
      </c>
      <c r="AZ54" s="496">
        <f>H107/1000</f>
        <v>0</v>
      </c>
      <c r="BA54" s="497">
        <f>AZ54*$AN$23</f>
        <v>0</v>
      </c>
      <c r="BB54" s="498">
        <f t="shared" si="65"/>
        <v>0</v>
      </c>
      <c r="BC54" s="498">
        <f t="shared" si="66"/>
        <v>0</v>
      </c>
      <c r="BD54" s="496">
        <f t="shared" si="24"/>
        <v>0</v>
      </c>
      <c r="BE54" s="497">
        <f t="shared" si="25"/>
        <v>0</v>
      </c>
      <c r="BF54" s="502">
        <f t="shared" si="26"/>
        <v>0</v>
      </c>
      <c r="BG54" s="496">
        <f t="shared" si="59"/>
        <v>0</v>
      </c>
      <c r="BH54" s="497">
        <f t="shared" si="60"/>
        <v>0</v>
      </c>
      <c r="BI54" s="502">
        <f t="shared" si="61"/>
        <v>0</v>
      </c>
      <c r="BJ54" s="257"/>
      <c r="BK54" s="318"/>
      <c r="BL54" s="495" t="s">
        <v>53</v>
      </c>
      <c r="BM54" s="496">
        <f>H132/1000</f>
        <v>0</v>
      </c>
      <c r="BN54" s="497">
        <f>BM54*$AN$23</f>
        <v>0</v>
      </c>
      <c r="BO54" s="498">
        <f t="shared" si="46"/>
        <v>0</v>
      </c>
      <c r="BP54" s="498">
        <f t="shared" si="47"/>
        <v>0</v>
      </c>
      <c r="BQ54" s="518">
        <f t="shared" si="29"/>
        <v>0</v>
      </c>
      <c r="BR54" s="498">
        <f t="shared" si="30"/>
        <v>0</v>
      </c>
      <c r="BS54" s="499">
        <f t="shared" si="31"/>
        <v>0</v>
      </c>
      <c r="BT54" s="496">
        <f t="shared" si="62"/>
        <v>0</v>
      </c>
      <c r="BU54" s="497">
        <f t="shared" si="63"/>
        <v>0</v>
      </c>
      <c r="BV54" s="502">
        <f t="shared" si="64"/>
        <v>0</v>
      </c>
    </row>
    <row r="55" spans="3:78" ht="12.75" customHeight="1">
      <c r="C55" s="157" t="str">
        <f ca="1">+IF(OFFSET(Processes!B36,$D$11,0)="*","*",OFFSET(Processes!D36,$D$11,0))</f>
        <v>AGRSHBWSTE1</v>
      </c>
      <c r="D55" s="133" t="str">
        <f ca="1">+OFFSET(Processes!E36,$D$11,0)</f>
        <v>Agriculture Heat Room Boiler - Waste Existing 1</v>
      </c>
      <c r="E55" s="136" t="str">
        <f>+Processes!O36</f>
        <v>AGRWST</v>
      </c>
      <c r="F55" s="136" t="str">
        <f>Commodities!$D$8</f>
        <v>AGDSH</v>
      </c>
      <c r="G55" s="289">
        <f t="shared" si="85"/>
        <v>0</v>
      </c>
      <c r="H55" s="289">
        <f t="shared" si="85"/>
        <v>0</v>
      </c>
      <c r="I55" s="289">
        <f t="shared" si="85"/>
        <v>0</v>
      </c>
      <c r="J55" s="289">
        <f t="shared" si="86"/>
        <v>0</v>
      </c>
      <c r="K55" s="289">
        <f t="shared" si="86"/>
        <v>0</v>
      </c>
      <c r="L55" s="289">
        <f t="shared" si="86"/>
        <v>0</v>
      </c>
      <c r="M55" s="289">
        <f t="shared" si="87"/>
        <v>0</v>
      </c>
      <c r="N55" s="289">
        <f t="shared" si="87"/>
        <v>0</v>
      </c>
      <c r="O55" s="289">
        <f t="shared" si="87"/>
        <v>0</v>
      </c>
      <c r="P55" s="289">
        <f t="shared" si="2"/>
        <v>0</v>
      </c>
      <c r="Q55" s="289">
        <f t="shared" si="3"/>
        <v>0</v>
      </c>
      <c r="R55" s="289">
        <f t="shared" si="4"/>
        <v>0</v>
      </c>
      <c r="S55" s="289">
        <f t="shared" si="5"/>
        <v>0</v>
      </c>
      <c r="T55" s="289">
        <f t="shared" si="6"/>
        <v>0</v>
      </c>
      <c r="U55" s="289">
        <f t="shared" si="7"/>
        <v>0</v>
      </c>
      <c r="V55" s="289">
        <v>5</v>
      </c>
      <c r="W55" s="306">
        <f>L151</f>
        <v>0.95</v>
      </c>
      <c r="X55" s="459">
        <f t="shared" si="88"/>
        <v>0.95</v>
      </c>
      <c r="Y55" s="459">
        <f t="shared" si="88"/>
        <v>0.95</v>
      </c>
      <c r="Z55" s="153">
        <f t="shared" ref="Z55:Z62" si="93">3.6*8760/1000000</f>
        <v>3.1536000000000002E-2</v>
      </c>
      <c r="AA55" s="345">
        <f>$AA$26</f>
        <v>0.5</v>
      </c>
      <c r="AB55" s="252">
        <v>20</v>
      </c>
      <c r="AC55" s="243"/>
      <c r="AD55" s="241"/>
      <c r="AE55" s="247"/>
      <c r="AF55" s="257"/>
      <c r="AG55" s="217">
        <f t="shared" si="89"/>
        <v>0</v>
      </c>
      <c r="AH55" s="217">
        <f t="shared" si="90"/>
        <v>0</v>
      </c>
      <c r="AI55" s="217">
        <f t="shared" si="91"/>
        <v>0</v>
      </c>
      <c r="AK55" s="318"/>
      <c r="AL55" s="495" t="s">
        <v>102</v>
      </c>
      <c r="AM55" s="496">
        <f>$L82/1000</f>
        <v>0</v>
      </c>
      <c r="AN55" s="497">
        <f t="shared" si="82"/>
        <v>0</v>
      </c>
      <c r="AO55" s="498">
        <f t="shared" si="83"/>
        <v>0</v>
      </c>
      <c r="AP55" s="498">
        <f t="shared" si="84"/>
        <v>0</v>
      </c>
      <c r="AQ55" s="518">
        <f t="shared" si="21"/>
        <v>0</v>
      </c>
      <c r="AR55" s="498">
        <f t="shared" si="22"/>
        <v>0</v>
      </c>
      <c r="AS55" s="499">
        <f t="shared" si="23"/>
        <v>0</v>
      </c>
      <c r="AT55" s="496">
        <f t="shared" si="92"/>
        <v>0</v>
      </c>
      <c r="AU55" s="497">
        <f t="shared" si="92"/>
        <v>0</v>
      </c>
      <c r="AV55" s="502">
        <f t="shared" si="92"/>
        <v>0</v>
      </c>
      <c r="AW55" s="257"/>
      <c r="AX55" s="318"/>
      <c r="AY55" s="495" t="s">
        <v>102</v>
      </c>
      <c r="AZ55" s="496">
        <f>$L107/1000</f>
        <v>0</v>
      </c>
      <c r="BA55" s="497">
        <f>AZ55*$AN$23</f>
        <v>0</v>
      </c>
      <c r="BB55" s="498">
        <f t="shared" si="65"/>
        <v>0</v>
      </c>
      <c r="BC55" s="498">
        <f t="shared" si="66"/>
        <v>0</v>
      </c>
      <c r="BD55" s="496">
        <f t="shared" si="24"/>
        <v>0</v>
      </c>
      <c r="BE55" s="497">
        <f t="shared" si="25"/>
        <v>0</v>
      </c>
      <c r="BF55" s="502">
        <f t="shared" si="26"/>
        <v>0</v>
      </c>
      <c r="BG55" s="496">
        <f t="shared" si="59"/>
        <v>0</v>
      </c>
      <c r="BH55" s="497">
        <f t="shared" si="60"/>
        <v>0</v>
      </c>
      <c r="BI55" s="502">
        <f t="shared" si="61"/>
        <v>0</v>
      </c>
      <c r="BJ55" s="257"/>
      <c r="BK55" s="318"/>
      <c r="BL55" s="495" t="s">
        <v>102</v>
      </c>
      <c r="BM55" s="496">
        <f>$L132/1000</f>
        <v>0</v>
      </c>
      <c r="BN55" s="497">
        <f>BM55*$AN$23</f>
        <v>0</v>
      </c>
      <c r="BO55" s="498">
        <f t="shared" si="46"/>
        <v>0</v>
      </c>
      <c r="BP55" s="498">
        <f t="shared" si="47"/>
        <v>0</v>
      </c>
      <c r="BQ55" s="518">
        <f t="shared" si="29"/>
        <v>0</v>
      </c>
      <c r="BR55" s="498">
        <f t="shared" si="30"/>
        <v>0</v>
      </c>
      <c r="BS55" s="499">
        <f t="shared" si="31"/>
        <v>0</v>
      </c>
      <c r="BT55" s="496">
        <f t="shared" si="62"/>
        <v>0</v>
      </c>
      <c r="BU55" s="497">
        <f t="shared" si="63"/>
        <v>0</v>
      </c>
      <c r="BV55" s="502">
        <f t="shared" si="64"/>
        <v>0</v>
      </c>
    </row>
    <row r="56" spans="3:78" ht="12.75" customHeight="1">
      <c r="C56" s="157" t="str">
        <f ca="1">+IF(OFFSET(Processes!B37,$D$11,0)="*","*",OFFSET(Processes!D37,$D$11,0))</f>
        <v>AGRSHBHETE1</v>
      </c>
      <c r="D56" s="133" t="str">
        <f ca="1">+OFFSET(Processes!E37,$D$11,0)</f>
        <v>Agriculture Heat Room Boiler - Dist. Heat Existing 1</v>
      </c>
      <c r="E56" s="136" t="str">
        <f>+Processes!O37</f>
        <v>AGRHCE</v>
      </c>
      <c r="F56" s="136" t="str">
        <f>Commodities!$D$8</f>
        <v>AGDSH</v>
      </c>
      <c r="G56" s="288">
        <f t="shared" si="85"/>
        <v>0</v>
      </c>
      <c r="H56" s="288">
        <f t="shared" si="85"/>
        <v>0</v>
      </c>
      <c r="I56" s="288">
        <f t="shared" si="85"/>
        <v>0</v>
      </c>
      <c r="J56" s="288">
        <f t="shared" si="86"/>
        <v>0</v>
      </c>
      <c r="K56" s="288">
        <f t="shared" si="86"/>
        <v>0</v>
      </c>
      <c r="L56" s="288">
        <f t="shared" si="86"/>
        <v>0</v>
      </c>
      <c r="M56" s="288">
        <f>BN56/($Z56*$AA56)*M$21*W56</f>
        <v>0</v>
      </c>
      <c r="N56" s="288">
        <f t="shared" si="87"/>
        <v>0</v>
      </c>
      <c r="O56" s="288">
        <f t="shared" si="87"/>
        <v>0</v>
      </c>
      <c r="P56" s="289">
        <f t="shared" si="2"/>
        <v>0</v>
      </c>
      <c r="Q56" s="289">
        <f t="shared" si="3"/>
        <v>0</v>
      </c>
      <c r="R56" s="289">
        <f t="shared" si="4"/>
        <v>0</v>
      </c>
      <c r="S56" s="288">
        <f t="shared" si="5"/>
        <v>0</v>
      </c>
      <c r="T56" s="288">
        <f t="shared" si="6"/>
        <v>0</v>
      </c>
      <c r="U56" s="288">
        <f t="shared" si="7"/>
        <v>0</v>
      </c>
      <c r="V56" s="288">
        <v>5</v>
      </c>
      <c r="W56" s="306">
        <f>$N$151</f>
        <v>0.96</v>
      </c>
      <c r="X56" s="459">
        <f>$W$56</f>
        <v>0.96</v>
      </c>
      <c r="Y56" s="459">
        <f>$W$56</f>
        <v>0.96</v>
      </c>
      <c r="Z56" s="153">
        <f t="shared" si="93"/>
        <v>3.1536000000000002E-2</v>
      </c>
      <c r="AA56" s="345">
        <f>$AA$26</f>
        <v>0.5</v>
      </c>
      <c r="AB56" s="252">
        <v>20</v>
      </c>
      <c r="AC56" s="286">
        <v>0.4</v>
      </c>
      <c r="AD56" s="286">
        <v>0.4</v>
      </c>
      <c r="AE56" s="245">
        <v>5</v>
      </c>
      <c r="AF56" s="257"/>
      <c r="AG56" s="217">
        <f t="shared" si="89"/>
        <v>0</v>
      </c>
      <c r="AH56" s="217">
        <f t="shared" si="90"/>
        <v>0</v>
      </c>
      <c r="AI56" s="217">
        <f>((M56*AA56*Z56/W56)+(N56*Z56*AA56/X56))/$M$21</f>
        <v>0</v>
      </c>
      <c r="AK56" s="318"/>
      <c r="AL56" s="495" t="s">
        <v>103</v>
      </c>
      <c r="AM56" s="496">
        <f>N82/1000</f>
        <v>0</v>
      </c>
      <c r="AN56" s="497">
        <f t="shared" si="82"/>
        <v>0</v>
      </c>
      <c r="AO56" s="498">
        <f t="shared" si="83"/>
        <v>0</v>
      </c>
      <c r="AP56" s="498">
        <f t="shared" si="84"/>
        <v>0</v>
      </c>
      <c r="AQ56" s="518">
        <f t="shared" si="21"/>
        <v>0</v>
      </c>
      <c r="AR56" s="498">
        <f t="shared" si="22"/>
        <v>0</v>
      </c>
      <c r="AS56" s="499">
        <f t="shared" si="23"/>
        <v>0</v>
      </c>
      <c r="AT56" s="496">
        <f t="shared" si="92"/>
        <v>0</v>
      </c>
      <c r="AU56" s="497">
        <f t="shared" si="92"/>
        <v>0</v>
      </c>
      <c r="AV56" s="502">
        <f t="shared" si="92"/>
        <v>0</v>
      </c>
      <c r="AW56" s="257"/>
      <c r="AX56" s="318"/>
      <c r="AY56" s="495" t="s">
        <v>103</v>
      </c>
      <c r="AZ56" s="496">
        <f>N107/1000</f>
        <v>0</v>
      </c>
      <c r="BA56" s="497">
        <f>AZ56*$AN$23</f>
        <v>0</v>
      </c>
      <c r="BB56" s="498">
        <f t="shared" si="65"/>
        <v>0</v>
      </c>
      <c r="BC56" s="498">
        <f t="shared" si="66"/>
        <v>0</v>
      </c>
      <c r="BD56" s="496">
        <f t="shared" si="24"/>
        <v>0</v>
      </c>
      <c r="BE56" s="497">
        <f t="shared" si="25"/>
        <v>0</v>
      </c>
      <c r="BF56" s="502">
        <f t="shared" si="26"/>
        <v>0</v>
      </c>
      <c r="BG56" s="496">
        <f t="shared" si="59"/>
        <v>0</v>
      </c>
      <c r="BH56" s="497">
        <f t="shared" si="60"/>
        <v>0</v>
      </c>
      <c r="BI56" s="502">
        <f t="shared" si="61"/>
        <v>0</v>
      </c>
      <c r="BJ56" s="257"/>
      <c r="BK56" s="318"/>
      <c r="BL56" s="495" t="s">
        <v>103</v>
      </c>
      <c r="BM56" s="496">
        <f>N132/1000</f>
        <v>0</v>
      </c>
      <c r="BN56" s="497">
        <f>BM56*$AN$23</f>
        <v>0</v>
      </c>
      <c r="BO56" s="498">
        <f t="shared" si="46"/>
        <v>0</v>
      </c>
      <c r="BP56" s="498">
        <f t="shared" si="47"/>
        <v>0</v>
      </c>
      <c r="BQ56" s="518">
        <f t="shared" si="29"/>
        <v>0</v>
      </c>
      <c r="BR56" s="498">
        <f t="shared" si="30"/>
        <v>0</v>
      </c>
      <c r="BS56" s="499">
        <f t="shared" si="31"/>
        <v>0</v>
      </c>
      <c r="BT56" s="496">
        <f t="shared" si="62"/>
        <v>0</v>
      </c>
      <c r="BU56" s="497">
        <f t="shared" si="63"/>
        <v>0</v>
      </c>
      <c r="BV56" s="502">
        <f t="shared" si="64"/>
        <v>0</v>
      </c>
    </row>
    <row r="57" spans="3:78" ht="12.75" customHeight="1">
      <c r="C57" s="157"/>
      <c r="D57" s="133"/>
      <c r="E57" s="136" t="str">
        <f>+Processes!O38</f>
        <v>AGRHDE</v>
      </c>
      <c r="F57" s="136"/>
      <c r="G57" s="288"/>
      <c r="H57" s="288"/>
      <c r="I57" s="288"/>
      <c r="J57" s="288"/>
      <c r="K57" s="288"/>
      <c r="L57" s="288"/>
      <c r="M57" s="288"/>
      <c r="N57" s="288"/>
      <c r="O57" s="288"/>
      <c r="P57" s="289">
        <f t="shared" si="2"/>
        <v>0</v>
      </c>
      <c r="Q57" s="289">
        <f t="shared" si="3"/>
        <v>0</v>
      </c>
      <c r="R57" s="289">
        <f t="shared" si="4"/>
        <v>0</v>
      </c>
      <c r="S57" s="288">
        <f t="shared" si="5"/>
        <v>0</v>
      </c>
      <c r="T57" s="288">
        <f t="shared" si="6"/>
        <v>0</v>
      </c>
      <c r="U57" s="288">
        <f t="shared" si="7"/>
        <v>0</v>
      </c>
      <c r="V57" s="288" t="str">
        <f>IF(S57&gt;0,0.001,"")</f>
        <v/>
      </c>
      <c r="W57" s="306">
        <f>$N$151</f>
        <v>0.96</v>
      </c>
      <c r="X57" s="459">
        <f>$W$56</f>
        <v>0.96</v>
      </c>
      <c r="Y57" s="459">
        <f>$W$56</f>
        <v>0.96</v>
      </c>
      <c r="Z57" s="241">
        <f t="shared" si="93"/>
        <v>3.1536000000000002E-2</v>
      </c>
      <c r="AA57" s="345"/>
      <c r="AB57" s="252"/>
      <c r="AC57" s="286">
        <v>0.6</v>
      </c>
      <c r="AD57" s="286">
        <v>0.6</v>
      </c>
      <c r="AE57" s="245">
        <v>5</v>
      </c>
      <c r="AF57" s="257"/>
      <c r="AG57" s="217">
        <f t="shared" si="89"/>
        <v>0</v>
      </c>
      <c r="AH57" s="217">
        <f t="shared" si="90"/>
        <v>0</v>
      </c>
      <c r="AI57" s="217">
        <f t="shared" si="91"/>
        <v>0</v>
      </c>
      <c r="AK57" s="318"/>
      <c r="AL57" s="495" t="s">
        <v>104</v>
      </c>
      <c r="AM57" s="496"/>
      <c r="AN57" s="497">
        <f t="shared" si="82"/>
        <v>0</v>
      </c>
      <c r="AO57" s="498">
        <f t="shared" si="83"/>
        <v>0</v>
      </c>
      <c r="AP57" s="498">
        <f t="shared" si="84"/>
        <v>0</v>
      </c>
      <c r="AQ57" s="518">
        <f t="shared" si="21"/>
        <v>0</v>
      </c>
      <c r="AR57" s="498">
        <f t="shared" si="22"/>
        <v>0</v>
      </c>
      <c r="AS57" s="499">
        <f t="shared" si="23"/>
        <v>0</v>
      </c>
      <c r="AT57" s="496"/>
      <c r="AU57" s="497"/>
      <c r="AV57" s="502"/>
      <c r="AW57" s="257"/>
      <c r="AX57" s="318"/>
      <c r="AY57" s="495" t="s">
        <v>104</v>
      </c>
      <c r="AZ57" s="496"/>
      <c r="BA57" s="497"/>
      <c r="BB57" s="498">
        <f t="shared" si="65"/>
        <v>0</v>
      </c>
      <c r="BC57" s="498">
        <f t="shared" si="66"/>
        <v>0</v>
      </c>
      <c r="BD57" s="496">
        <f t="shared" si="24"/>
        <v>0</v>
      </c>
      <c r="BE57" s="497">
        <f t="shared" si="25"/>
        <v>0</v>
      </c>
      <c r="BF57" s="502">
        <f t="shared" si="26"/>
        <v>0</v>
      </c>
      <c r="BG57" s="496"/>
      <c r="BH57" s="497"/>
      <c r="BI57" s="502"/>
      <c r="BJ57" s="257"/>
      <c r="BK57" s="318"/>
      <c r="BL57" s="495" t="s">
        <v>104</v>
      </c>
      <c r="BM57" s="496"/>
      <c r="BN57" s="497"/>
      <c r="BO57" s="498">
        <f t="shared" si="46"/>
        <v>0</v>
      </c>
      <c r="BP57" s="498">
        <f t="shared" si="47"/>
        <v>0</v>
      </c>
      <c r="BQ57" s="518">
        <f t="shared" si="29"/>
        <v>0</v>
      </c>
      <c r="BR57" s="498">
        <f t="shared" si="30"/>
        <v>0</v>
      </c>
      <c r="BS57" s="499">
        <f t="shared" si="31"/>
        <v>0</v>
      </c>
      <c r="BT57" s="496"/>
      <c r="BU57" s="497"/>
      <c r="BV57" s="502"/>
    </row>
    <row r="58" spans="3:78" ht="12.75" customHeight="1">
      <c r="C58" s="157" t="str">
        <f ca="1">+IF(OFFSET(Processes!B39,$D$11,0)="*","*",OFFSET(Processes!D39,$D$11,0))</f>
        <v>AGRSHBELCE1</v>
      </c>
      <c r="D58" s="135" t="str">
        <f ca="1">+OFFSET(Processes!E39,$D$11,0)</f>
        <v>Agriculture Heat Room Boiler - Electricity Existing 1</v>
      </c>
      <c r="E58" s="156" t="str">
        <f>+Processes!O39</f>
        <v>AGRELC</v>
      </c>
      <c r="F58" s="136" t="str">
        <f>Commodities!$D$8</f>
        <v>AGDSH</v>
      </c>
      <c r="G58" s="291">
        <f t="shared" ref="G58:I62" si="94">AN58/($Z58*$AA58)*G$21*W58</f>
        <v>0</v>
      </c>
      <c r="H58" s="291">
        <f t="shared" si="94"/>
        <v>0</v>
      </c>
      <c r="I58" s="291">
        <f t="shared" si="94"/>
        <v>0</v>
      </c>
      <c r="J58" s="291">
        <f t="shared" ref="J58:L62" si="95">BA58/($Z58*$AA58)*J$21*W58</f>
        <v>0</v>
      </c>
      <c r="K58" s="291">
        <f t="shared" si="95"/>
        <v>0</v>
      </c>
      <c r="L58" s="291">
        <f t="shared" si="95"/>
        <v>0</v>
      </c>
      <c r="M58" s="291">
        <f t="shared" ref="M58:O62" si="96">BN58/($Z58*$AA58)*M$21*W58</f>
        <v>0</v>
      </c>
      <c r="N58" s="291">
        <f t="shared" si="96"/>
        <v>0</v>
      </c>
      <c r="O58" s="291">
        <f t="shared" si="96"/>
        <v>0</v>
      </c>
      <c r="P58" s="291">
        <f t="shared" si="2"/>
        <v>0</v>
      </c>
      <c r="Q58" s="291">
        <f t="shared" si="3"/>
        <v>0</v>
      </c>
      <c r="R58" s="291">
        <f t="shared" si="4"/>
        <v>0</v>
      </c>
      <c r="S58" s="291">
        <f t="shared" si="5"/>
        <v>0</v>
      </c>
      <c r="T58" s="291">
        <f t="shared" si="6"/>
        <v>0</v>
      </c>
      <c r="U58" s="291">
        <f t="shared" si="7"/>
        <v>0</v>
      </c>
      <c r="V58" s="494">
        <v>5</v>
      </c>
      <c r="W58" s="308">
        <f>M151</f>
        <v>0.95</v>
      </c>
      <c r="X58" s="460">
        <f>W58</f>
        <v>0.95</v>
      </c>
      <c r="Y58" s="460">
        <f>X58</f>
        <v>0.95</v>
      </c>
      <c r="Z58" s="161">
        <f t="shared" si="93"/>
        <v>3.1536000000000002E-2</v>
      </c>
      <c r="AA58" s="345">
        <f>$AA$26</f>
        <v>0.5</v>
      </c>
      <c r="AB58" s="252">
        <v>20</v>
      </c>
      <c r="AC58" s="161"/>
      <c r="AD58" s="153"/>
      <c r="AE58" s="164"/>
      <c r="AF58" s="257"/>
      <c r="AG58" s="217">
        <f t="shared" si="89"/>
        <v>0</v>
      </c>
      <c r="AH58" s="217">
        <f t="shared" si="90"/>
        <v>0</v>
      </c>
      <c r="AI58" s="217">
        <f t="shared" si="91"/>
        <v>0</v>
      </c>
      <c r="AK58" s="317"/>
      <c r="AL58" s="503" t="s">
        <v>61</v>
      </c>
      <c r="AM58" s="496">
        <f>M82/1000</f>
        <v>0</v>
      </c>
      <c r="AN58" s="497">
        <f t="shared" si="82"/>
        <v>0</v>
      </c>
      <c r="AO58" s="498">
        <f>AM58*$AO$23</f>
        <v>0</v>
      </c>
      <c r="AP58" s="498">
        <f t="shared" si="84"/>
        <v>0</v>
      </c>
      <c r="AQ58" s="518">
        <f t="shared" si="21"/>
        <v>0</v>
      </c>
      <c r="AR58" s="498">
        <f t="shared" si="22"/>
        <v>0</v>
      </c>
      <c r="AS58" s="499">
        <f t="shared" si="23"/>
        <v>0</v>
      </c>
      <c r="AT58" s="496">
        <f t="shared" ref="AT58:AV62" si="97">IFERROR(AQ58/W58,0)</f>
        <v>0</v>
      </c>
      <c r="AU58" s="497">
        <f t="shared" si="97"/>
        <v>0</v>
      </c>
      <c r="AV58" s="502">
        <f t="shared" si="97"/>
        <v>0</v>
      </c>
      <c r="AW58" s="257"/>
      <c r="AX58" s="317"/>
      <c r="AY58" s="503" t="s">
        <v>61</v>
      </c>
      <c r="AZ58" s="496">
        <f>M107/1000</f>
        <v>0</v>
      </c>
      <c r="BA58" s="497">
        <f>AZ58*$AN$23</f>
        <v>0</v>
      </c>
      <c r="BB58" s="498">
        <f>AZ58*$BB$23</f>
        <v>0</v>
      </c>
      <c r="BC58" s="498">
        <f>AZ58*$BC$23</f>
        <v>0</v>
      </c>
      <c r="BD58" s="496">
        <f>IFERROR(J58*$Z58*$AA$58/J$21,0)</f>
        <v>0</v>
      </c>
      <c r="BE58" s="497">
        <f>IFERROR(K58*$Z58*$AA$58/K$21,0)</f>
        <v>0</v>
      </c>
      <c r="BF58" s="502">
        <f>IFERROR(L58*$Z58*$AA$58/L$21,0)</f>
        <v>0</v>
      </c>
      <c r="BG58" s="496">
        <f t="shared" ref="BG58:BI62" si="98">IFERROR(BD58/W58,0)</f>
        <v>0</v>
      </c>
      <c r="BH58" s="497">
        <f t="shared" si="98"/>
        <v>0</v>
      </c>
      <c r="BI58" s="502">
        <f t="shared" si="98"/>
        <v>0</v>
      </c>
      <c r="BJ58" s="257"/>
      <c r="BK58" s="317"/>
      <c r="BL58" s="503" t="s">
        <v>61</v>
      </c>
      <c r="BM58" s="496">
        <f>M132/1000</f>
        <v>0</v>
      </c>
      <c r="BN58" s="497">
        <f>BM58*$AN$23</f>
        <v>0</v>
      </c>
      <c r="BO58" s="498">
        <f t="shared" si="46"/>
        <v>0</v>
      </c>
      <c r="BP58" s="498">
        <f t="shared" si="47"/>
        <v>0</v>
      </c>
      <c r="BQ58" s="518">
        <f t="shared" si="29"/>
        <v>0</v>
      </c>
      <c r="BR58" s="498">
        <f t="shared" si="30"/>
        <v>0</v>
      </c>
      <c r="BS58" s="499">
        <f t="shared" si="31"/>
        <v>0</v>
      </c>
      <c r="BT58" s="496">
        <f t="shared" ref="BT58:BV62" si="99">IFERROR(BQ58/W58,0)</f>
        <v>0</v>
      </c>
      <c r="BU58" s="497">
        <f t="shared" si="99"/>
        <v>0</v>
      </c>
      <c r="BV58" s="502">
        <f t="shared" si="99"/>
        <v>0</v>
      </c>
    </row>
    <row r="59" spans="3:78" ht="12.75" customHeight="1">
      <c r="C59" s="159" t="str">
        <f ca="1">+IF(OFFSET(Processes!B40,$D$11,0)="*","*",OFFSET(Processes!D40,$D$11,0))</f>
        <v>AGRLAAELCE1</v>
      </c>
      <c r="D59" s="133" t="str">
        <f ca="1">+OFFSET(Processes!E40,$D$11,0)</f>
        <v>Agriculture Electricity Light Appliance - Electricity Existing 1</v>
      </c>
      <c r="E59" s="160" t="str">
        <f>+Processes!O40</f>
        <v>AGRELC</v>
      </c>
      <c r="F59" s="136" t="str">
        <f>Commodities!$D$9</f>
        <v>AGDLA</v>
      </c>
      <c r="G59" s="290">
        <f t="shared" si="94"/>
        <v>0</v>
      </c>
      <c r="H59" s="290">
        <f t="shared" si="94"/>
        <v>0</v>
      </c>
      <c r="I59" s="290">
        <f t="shared" si="94"/>
        <v>0</v>
      </c>
      <c r="J59" s="290">
        <f t="shared" si="95"/>
        <v>0</v>
      </c>
      <c r="K59" s="290">
        <f t="shared" si="95"/>
        <v>0</v>
      </c>
      <c r="L59" s="290">
        <f t="shared" si="95"/>
        <v>0</v>
      </c>
      <c r="M59" s="290">
        <f t="shared" si="96"/>
        <v>0</v>
      </c>
      <c r="N59" s="290">
        <f t="shared" si="96"/>
        <v>0</v>
      </c>
      <c r="O59" s="290">
        <f t="shared" si="96"/>
        <v>0</v>
      </c>
      <c r="P59" s="289">
        <f t="shared" si="2"/>
        <v>0</v>
      </c>
      <c r="Q59" s="289">
        <f t="shared" si="3"/>
        <v>0</v>
      </c>
      <c r="R59" s="289">
        <f t="shared" si="4"/>
        <v>0</v>
      </c>
      <c r="S59" s="290">
        <f t="shared" si="5"/>
        <v>0</v>
      </c>
      <c r="T59" s="290">
        <f t="shared" si="6"/>
        <v>0</v>
      </c>
      <c r="U59" s="290">
        <f t="shared" si="7"/>
        <v>0</v>
      </c>
      <c r="V59" s="290">
        <v>5</v>
      </c>
      <c r="W59" s="306">
        <v>1</v>
      </c>
      <c r="X59" s="459">
        <v>1</v>
      </c>
      <c r="Y59" s="459">
        <v>1</v>
      </c>
      <c r="Z59" s="162">
        <f t="shared" si="93"/>
        <v>3.1536000000000002E-2</v>
      </c>
      <c r="AA59" s="346">
        <f>$AA$26</f>
        <v>0.5</v>
      </c>
      <c r="AB59" s="253">
        <v>20</v>
      </c>
      <c r="AC59" s="162"/>
      <c r="AD59" s="162"/>
      <c r="AE59" s="165"/>
      <c r="AF59" s="257"/>
      <c r="AG59" s="217">
        <f t="shared" si="89"/>
        <v>0</v>
      </c>
      <c r="AH59" s="217">
        <f t="shared" si="90"/>
        <v>0</v>
      </c>
      <c r="AI59" s="217">
        <f t="shared" si="91"/>
        <v>0</v>
      </c>
      <c r="AK59" s="467" t="str">
        <f>F59</f>
        <v>AGDLA</v>
      </c>
      <c r="AL59" s="514" t="s">
        <v>61</v>
      </c>
      <c r="AM59" s="515">
        <f>M80/1000</f>
        <v>0</v>
      </c>
      <c r="AN59" s="516">
        <f t="shared" si="82"/>
        <v>0</v>
      </c>
      <c r="AO59" s="519">
        <f t="shared" si="83"/>
        <v>0</v>
      </c>
      <c r="AP59" s="519">
        <f t="shared" si="84"/>
        <v>0</v>
      </c>
      <c r="AQ59" s="520">
        <f t="shared" si="21"/>
        <v>0</v>
      </c>
      <c r="AR59" s="519">
        <f t="shared" si="22"/>
        <v>0</v>
      </c>
      <c r="AS59" s="521">
        <f t="shared" si="23"/>
        <v>0</v>
      </c>
      <c r="AT59" s="515">
        <f t="shared" si="97"/>
        <v>0</v>
      </c>
      <c r="AU59" s="516">
        <f t="shared" si="97"/>
        <v>0</v>
      </c>
      <c r="AV59" s="517">
        <f t="shared" si="97"/>
        <v>0</v>
      </c>
      <c r="AW59" s="257"/>
      <c r="AX59" s="467" t="str">
        <f t="shared" si="13"/>
        <v>AGDLA</v>
      </c>
      <c r="AY59" s="514" t="s">
        <v>61</v>
      </c>
      <c r="AZ59" s="515">
        <f>M105/1000</f>
        <v>0</v>
      </c>
      <c r="BA59" s="516">
        <f>AZ59*$AN$23</f>
        <v>0</v>
      </c>
      <c r="BB59" s="519">
        <f>AZ59*$BB$23</f>
        <v>0</v>
      </c>
      <c r="BC59" s="519">
        <f t="shared" si="66"/>
        <v>0</v>
      </c>
      <c r="BD59" s="515">
        <f>IFERROR(J59*$Z59*$AA$59/J$21,0)</f>
        <v>0</v>
      </c>
      <c r="BE59" s="516">
        <f>IFERROR(K59*$Z59*$AA$59/K$21,0)</f>
        <v>0</v>
      </c>
      <c r="BF59" s="517">
        <f>IFERROR(L59*$Z59*$AA$59/L$21,0)</f>
        <v>0</v>
      </c>
      <c r="BG59" s="515">
        <f t="shared" si="98"/>
        <v>0</v>
      </c>
      <c r="BH59" s="516">
        <f t="shared" si="98"/>
        <v>0</v>
      </c>
      <c r="BI59" s="517">
        <f t="shared" si="98"/>
        <v>0</v>
      </c>
      <c r="BJ59" s="257"/>
      <c r="BK59" s="467" t="str">
        <f>AK59</f>
        <v>AGDLA</v>
      </c>
      <c r="BL59" s="514" t="s">
        <v>61</v>
      </c>
      <c r="BM59" s="515">
        <f>M130/1000</f>
        <v>0</v>
      </c>
      <c r="BN59" s="516">
        <f>BM59*$AN$23</f>
        <v>0</v>
      </c>
      <c r="BO59" s="519">
        <f t="shared" si="46"/>
        <v>0</v>
      </c>
      <c r="BP59" s="519">
        <f t="shared" si="47"/>
        <v>0</v>
      </c>
      <c r="BQ59" s="520">
        <f t="shared" si="29"/>
        <v>0</v>
      </c>
      <c r="BR59" s="519">
        <f t="shared" si="30"/>
        <v>0</v>
      </c>
      <c r="BS59" s="521">
        <f t="shared" si="31"/>
        <v>0</v>
      </c>
      <c r="BT59" s="515">
        <f t="shared" si="99"/>
        <v>0</v>
      </c>
      <c r="BU59" s="516">
        <f t="shared" si="99"/>
        <v>0</v>
      </c>
      <c r="BV59" s="517">
        <f t="shared" si="99"/>
        <v>0</v>
      </c>
    </row>
    <row r="60" spans="3:78" ht="12.75" customHeight="1">
      <c r="C60" s="135" t="str">
        <f ca="1">+IF(OFFSET(Processes!B41,$D$11,0)="*","*",OFFSET(Processes!D41,$D$11,0))</f>
        <v>AGREMMELCE1</v>
      </c>
      <c r="D60" s="135" t="str">
        <f ca="1">+OFFSET(Processes!E41,$D$11,0)</f>
        <v>Agriculture Electricity Motors - Electricity Existing 1</v>
      </c>
      <c r="E60" s="158" t="str">
        <f>+Processes!O41</f>
        <v>AGRELC</v>
      </c>
      <c r="F60" s="158" t="str">
        <f>Commodities!$D$10</f>
        <v>AGDEM</v>
      </c>
      <c r="G60" s="291">
        <f t="shared" si="94"/>
        <v>0</v>
      </c>
      <c r="H60" s="291">
        <f t="shared" si="94"/>
        <v>0</v>
      </c>
      <c r="I60" s="291">
        <f t="shared" si="94"/>
        <v>0</v>
      </c>
      <c r="J60" s="291">
        <f t="shared" si="95"/>
        <v>0</v>
      </c>
      <c r="K60" s="291">
        <f t="shared" si="95"/>
        <v>0</v>
      </c>
      <c r="L60" s="291">
        <f t="shared" si="95"/>
        <v>0</v>
      </c>
      <c r="M60" s="291">
        <f t="shared" si="96"/>
        <v>0</v>
      </c>
      <c r="N60" s="291">
        <f t="shared" si="96"/>
        <v>0</v>
      </c>
      <c r="O60" s="291">
        <f t="shared" si="96"/>
        <v>0</v>
      </c>
      <c r="P60" s="291">
        <f t="shared" si="2"/>
        <v>0</v>
      </c>
      <c r="Q60" s="291">
        <f t="shared" si="3"/>
        <v>0</v>
      </c>
      <c r="R60" s="291">
        <f t="shared" si="4"/>
        <v>0</v>
      </c>
      <c r="S60" s="291">
        <f t="shared" si="5"/>
        <v>0</v>
      </c>
      <c r="T60" s="291">
        <f t="shared" si="6"/>
        <v>0</v>
      </c>
      <c r="U60" s="291">
        <f t="shared" si="7"/>
        <v>0</v>
      </c>
      <c r="V60" s="494">
        <v>5</v>
      </c>
      <c r="W60" s="308">
        <v>1</v>
      </c>
      <c r="X60" s="460">
        <v>1</v>
      </c>
      <c r="Y60" s="460">
        <v>1</v>
      </c>
      <c r="Z60" s="154">
        <f t="shared" si="93"/>
        <v>3.1536000000000002E-2</v>
      </c>
      <c r="AA60" s="344">
        <f>$AA$26</f>
        <v>0.5</v>
      </c>
      <c r="AB60" s="251">
        <v>20</v>
      </c>
      <c r="AC60" s="154"/>
      <c r="AD60" s="154"/>
      <c r="AE60" s="163"/>
      <c r="AF60" s="257"/>
      <c r="AG60" s="217">
        <f t="shared" si="89"/>
        <v>0</v>
      </c>
      <c r="AH60" s="217">
        <f t="shared" si="90"/>
        <v>0</v>
      </c>
      <c r="AI60" s="217">
        <f t="shared" si="91"/>
        <v>0</v>
      </c>
      <c r="AK60" s="472" t="str">
        <f>F60</f>
        <v>AGDEM</v>
      </c>
      <c r="AL60" s="514" t="s">
        <v>61</v>
      </c>
      <c r="AM60" s="515">
        <f>M81/1000</f>
        <v>0</v>
      </c>
      <c r="AN60" s="516">
        <f t="shared" si="82"/>
        <v>0</v>
      </c>
      <c r="AO60" s="519">
        <f t="shared" si="83"/>
        <v>0</v>
      </c>
      <c r="AP60" s="519">
        <f t="shared" si="84"/>
        <v>0</v>
      </c>
      <c r="AQ60" s="520">
        <f t="shared" si="21"/>
        <v>0</v>
      </c>
      <c r="AR60" s="519">
        <f t="shared" si="22"/>
        <v>0</v>
      </c>
      <c r="AS60" s="521">
        <f t="shared" si="23"/>
        <v>0</v>
      </c>
      <c r="AT60" s="515">
        <f t="shared" si="97"/>
        <v>0</v>
      </c>
      <c r="AU60" s="516">
        <f t="shared" si="97"/>
        <v>0</v>
      </c>
      <c r="AV60" s="517">
        <f t="shared" si="97"/>
        <v>0</v>
      </c>
      <c r="AW60" s="257"/>
      <c r="AX60" s="472" t="str">
        <f t="shared" si="13"/>
        <v>AGDEM</v>
      </c>
      <c r="AY60" s="514" t="s">
        <v>61</v>
      </c>
      <c r="AZ60" s="515">
        <f>M106/1000</f>
        <v>0</v>
      </c>
      <c r="BA60" s="516">
        <f>AZ60*$AN$23</f>
        <v>0</v>
      </c>
      <c r="BB60" s="519">
        <f>AZ60*$BB$23</f>
        <v>0</v>
      </c>
      <c r="BC60" s="519">
        <f t="shared" si="66"/>
        <v>0</v>
      </c>
      <c r="BD60" s="515">
        <f>IFERROR(J60*$Z60*$AA$60/J$21,0)</f>
        <v>0</v>
      </c>
      <c r="BE60" s="516">
        <f>IFERROR(K60*$Z60*$AA$60/K$21,0)</f>
        <v>0</v>
      </c>
      <c r="BF60" s="517">
        <f>IFERROR(L60*$Z60*$AA$60/L$21,0)</f>
        <v>0</v>
      </c>
      <c r="BG60" s="515">
        <f t="shared" si="98"/>
        <v>0</v>
      </c>
      <c r="BH60" s="516">
        <f t="shared" si="98"/>
        <v>0</v>
      </c>
      <c r="BI60" s="517">
        <f t="shared" si="98"/>
        <v>0</v>
      </c>
      <c r="BJ60" s="257"/>
      <c r="BK60" s="472" t="str">
        <f>AK60</f>
        <v>AGDEM</v>
      </c>
      <c r="BL60" s="514" t="s">
        <v>61</v>
      </c>
      <c r="BM60" s="515">
        <f>M131/1000</f>
        <v>0</v>
      </c>
      <c r="BN60" s="516">
        <f>BM60*$AN$23</f>
        <v>0</v>
      </c>
      <c r="BO60" s="519">
        <f t="shared" si="46"/>
        <v>0</v>
      </c>
      <c r="BP60" s="519">
        <f t="shared" si="47"/>
        <v>0</v>
      </c>
      <c r="BQ60" s="520">
        <f t="shared" si="29"/>
        <v>0</v>
      </c>
      <c r="BR60" s="519">
        <f t="shared" si="30"/>
        <v>0</v>
      </c>
      <c r="BS60" s="521">
        <f t="shared" si="31"/>
        <v>0</v>
      </c>
      <c r="BT60" s="515">
        <f t="shared" si="99"/>
        <v>0</v>
      </c>
      <c r="BU60" s="516">
        <f t="shared" si="99"/>
        <v>0</v>
      </c>
      <c r="BV60" s="517">
        <f t="shared" si="99"/>
        <v>0</v>
      </c>
    </row>
    <row r="61" spans="3:78" ht="12.75" customHeight="1">
      <c r="C61" s="157" t="str">
        <f ca="1">+IF(OFFSET(Processes!B42,$D$11,0)="*","*",OFFSET(Processes!D42,$D$11,0))</f>
        <v>AGRTFTDSLE1</v>
      </c>
      <c r="D61" s="157" t="str">
        <f ca="1">+OFFSET(Processes!E42,$D$11,0)</f>
        <v>Agriculture Tractors, Trucks, Fishing boats, Forest machines - Diesel Existing 1</v>
      </c>
      <c r="E61" s="156" t="str">
        <f>+Processes!O42</f>
        <v>AGRDSB1,AGRDSB2,AGRDSL</v>
      </c>
      <c r="F61" s="156" t="str">
        <f>Commodities!$D$11</f>
        <v>AGDTF</v>
      </c>
      <c r="G61" s="290">
        <f>AN61/($Z61*$AA61)*G$21*W61</f>
        <v>0</v>
      </c>
      <c r="H61" s="290">
        <f t="shared" si="94"/>
        <v>0</v>
      </c>
      <c r="I61" s="290">
        <f t="shared" si="94"/>
        <v>0</v>
      </c>
      <c r="J61" s="290">
        <f>BA61/($Z61*$AA61)*J$21*W61</f>
        <v>0</v>
      </c>
      <c r="K61" s="290">
        <f t="shared" si="95"/>
        <v>0</v>
      </c>
      <c r="L61" s="290">
        <f t="shared" si="95"/>
        <v>0</v>
      </c>
      <c r="M61" s="290">
        <f t="shared" si="96"/>
        <v>5098.2586941907657</v>
      </c>
      <c r="N61" s="290">
        <f t="shared" si="96"/>
        <v>0</v>
      </c>
      <c r="O61" s="290">
        <f t="shared" si="96"/>
        <v>0</v>
      </c>
      <c r="P61" s="289">
        <f t="shared" si="2"/>
        <v>5098.2586941907657</v>
      </c>
      <c r="Q61" s="289">
        <f t="shared" si="3"/>
        <v>0</v>
      </c>
      <c r="R61" s="289">
        <f t="shared" si="4"/>
        <v>0</v>
      </c>
      <c r="S61" s="290">
        <f t="shared" si="5"/>
        <v>0</v>
      </c>
      <c r="T61" s="290">
        <f t="shared" si="6"/>
        <v>0</v>
      </c>
      <c r="U61" s="290">
        <f t="shared" si="7"/>
        <v>0</v>
      </c>
      <c r="V61" s="290">
        <v>5</v>
      </c>
      <c r="W61" s="306">
        <v>1</v>
      </c>
      <c r="X61" s="459">
        <f>W61</f>
        <v>1</v>
      </c>
      <c r="Y61" s="459">
        <f>X61</f>
        <v>1</v>
      </c>
      <c r="Z61" s="162">
        <f t="shared" si="93"/>
        <v>3.1536000000000002E-2</v>
      </c>
      <c r="AA61" s="346">
        <v>0.5</v>
      </c>
      <c r="AB61" s="253">
        <v>20</v>
      </c>
      <c r="AC61" s="162"/>
      <c r="AD61" s="162"/>
      <c r="AE61" s="165"/>
      <c r="AF61" s="257"/>
      <c r="AG61" s="217">
        <f>((G61*Z61*AA61/W61)+(H61*Z61*AA61/X61))/$G$21</f>
        <v>0</v>
      </c>
      <c r="AH61" s="217">
        <f>((J61*Z61*AA61/W61)+(K61*Z61*AA61/X61))/$J$21</f>
        <v>0</v>
      </c>
      <c r="AI61" s="217">
        <f t="shared" si="91"/>
        <v>79.593408999999994</v>
      </c>
      <c r="AK61" s="472" t="str">
        <f>F61</f>
        <v>AGDTF</v>
      </c>
      <c r="AL61" s="514" t="s">
        <v>59</v>
      </c>
      <c r="AM61" s="515">
        <f>(F79+G79+E79)/1000</f>
        <v>0</v>
      </c>
      <c r="AN61" s="516">
        <f t="shared" si="82"/>
        <v>0</v>
      </c>
      <c r="AO61" s="519">
        <f t="shared" si="83"/>
        <v>0</v>
      </c>
      <c r="AP61" s="519">
        <f t="shared" si="84"/>
        <v>0</v>
      </c>
      <c r="AQ61" s="520">
        <f>IFERROR(G61*$Z61*$AA61/G$21,0)</f>
        <v>0</v>
      </c>
      <c r="AR61" s="519">
        <f t="shared" si="22"/>
        <v>0</v>
      </c>
      <c r="AS61" s="521">
        <f t="shared" si="23"/>
        <v>0</v>
      </c>
      <c r="AT61" s="515">
        <f t="shared" si="97"/>
        <v>0</v>
      </c>
      <c r="AU61" s="516">
        <f t="shared" si="97"/>
        <v>0</v>
      </c>
      <c r="AV61" s="517">
        <f t="shared" si="97"/>
        <v>0</v>
      </c>
      <c r="AW61" s="257"/>
      <c r="AX61" s="472" t="str">
        <f t="shared" si="13"/>
        <v>AGDTF</v>
      </c>
      <c r="AY61" s="514" t="s">
        <v>59</v>
      </c>
      <c r="AZ61" s="515">
        <f>(F104+G104+E104)/1000</f>
        <v>0</v>
      </c>
      <c r="BA61" s="516">
        <f>AZ61*$AN$23</f>
        <v>0</v>
      </c>
      <c r="BB61" s="519">
        <f>AZ61*$BB$23</f>
        <v>0</v>
      </c>
      <c r="BC61" s="519">
        <f>AZ61*$BC$23</f>
        <v>0</v>
      </c>
      <c r="BD61" s="515">
        <f>IFERROR(J61*$Z61*$AA$61/J$21,0)</f>
        <v>0</v>
      </c>
      <c r="BE61" s="516">
        <f>IFERROR(K61*$Z61*$AA$61/K$21,0)</f>
        <v>0</v>
      </c>
      <c r="BF61" s="517">
        <f>IFERROR(L61*$Z61*$AA$61/L$21,0)</f>
        <v>0</v>
      </c>
      <c r="BG61" s="515">
        <f t="shared" si="98"/>
        <v>0</v>
      </c>
      <c r="BH61" s="516">
        <f t="shared" si="98"/>
        <v>0</v>
      </c>
      <c r="BI61" s="517">
        <f t="shared" si="98"/>
        <v>0</v>
      </c>
      <c r="BJ61" s="257"/>
      <c r="BK61" s="472" t="str">
        <f>AK61</f>
        <v>AGDTF</v>
      </c>
      <c r="BL61" s="514" t="s">
        <v>59</v>
      </c>
      <c r="BM61" s="515">
        <f>(F129+G129+E129)/1000</f>
        <v>79.593408999999994</v>
      </c>
      <c r="BN61" s="516">
        <f>BM61*$AN$23</f>
        <v>79.593408999999994</v>
      </c>
      <c r="BO61" s="519">
        <f t="shared" si="46"/>
        <v>0</v>
      </c>
      <c r="BP61" s="519">
        <f t="shared" si="47"/>
        <v>0</v>
      </c>
      <c r="BQ61" s="520">
        <f t="shared" si="29"/>
        <v>79.593408999999994</v>
      </c>
      <c r="BR61" s="519">
        <f t="shared" si="30"/>
        <v>0</v>
      </c>
      <c r="BS61" s="521">
        <f t="shared" si="31"/>
        <v>0</v>
      </c>
      <c r="BT61" s="515">
        <f t="shared" si="99"/>
        <v>79.593408999999994</v>
      </c>
      <c r="BU61" s="516">
        <f t="shared" si="99"/>
        <v>0</v>
      </c>
      <c r="BV61" s="517">
        <f t="shared" si="99"/>
        <v>0</v>
      </c>
    </row>
    <row r="62" spans="3:78" ht="12.75" customHeight="1">
      <c r="C62" s="157" t="str">
        <f ca="1">+IF(OFFSET(Processes!B43,$D$11,0)="*","*",OFFSET(Processes!D43,$D$11,0))</f>
        <v>AGRFLTLPGE1</v>
      </c>
      <c r="D62" s="157" t="str">
        <f ca="1">+OFFSET(Processes!E43,$D$11,0)</f>
        <v>Agriculture Forklifts - LPG Existing 1</v>
      </c>
      <c r="E62" s="156" t="str">
        <f>+Processes!O43</f>
        <v>AGRLPG,AGRSNG1,AGRSNG2</v>
      </c>
      <c r="F62" s="156" t="str">
        <f>Commodities!$D$12</f>
        <v>AGDFL</v>
      </c>
      <c r="G62" s="290">
        <f t="shared" si="94"/>
        <v>0</v>
      </c>
      <c r="H62" s="290">
        <f t="shared" si="94"/>
        <v>0</v>
      </c>
      <c r="I62" s="290">
        <f t="shared" si="94"/>
        <v>0</v>
      </c>
      <c r="J62" s="290">
        <f>BA62/($Z62*$AA62)*J$21*W62</f>
        <v>0</v>
      </c>
      <c r="K62" s="290">
        <f t="shared" si="95"/>
        <v>0</v>
      </c>
      <c r="L62" s="290">
        <f t="shared" si="95"/>
        <v>0</v>
      </c>
      <c r="M62" s="289">
        <f t="shared" si="96"/>
        <v>424.20432363013697</v>
      </c>
      <c r="N62" s="289">
        <f t="shared" si="96"/>
        <v>0</v>
      </c>
      <c r="O62" s="289">
        <f t="shared" si="96"/>
        <v>0</v>
      </c>
      <c r="P62" s="289">
        <f t="shared" si="2"/>
        <v>424.20432363013697</v>
      </c>
      <c r="Q62" s="289">
        <f t="shared" si="3"/>
        <v>0</v>
      </c>
      <c r="R62" s="289">
        <f t="shared" si="4"/>
        <v>0</v>
      </c>
      <c r="S62" s="290">
        <f t="shared" si="5"/>
        <v>0</v>
      </c>
      <c r="T62" s="290">
        <f t="shared" si="6"/>
        <v>0</v>
      </c>
      <c r="U62" s="290">
        <f t="shared" si="7"/>
        <v>0</v>
      </c>
      <c r="V62" s="290">
        <v>5</v>
      </c>
      <c r="W62" s="306">
        <v>1</v>
      </c>
      <c r="X62" s="459">
        <f>W62</f>
        <v>1</v>
      </c>
      <c r="Y62" s="459">
        <f>X62</f>
        <v>1</v>
      </c>
      <c r="Z62" s="161">
        <f t="shared" si="93"/>
        <v>3.1536000000000002E-2</v>
      </c>
      <c r="AA62" s="345">
        <f>$AA$61</f>
        <v>0.5</v>
      </c>
      <c r="AB62" s="252">
        <v>20</v>
      </c>
      <c r="AC62" s="161"/>
      <c r="AD62" s="161"/>
      <c r="AE62" s="164"/>
      <c r="AF62" s="257"/>
      <c r="AG62" s="217">
        <f>((G62*Z62*AA62/W62)+(H62*Z62*AA62/X62))/$G$21</f>
        <v>0</v>
      </c>
      <c r="AH62" s="217">
        <f t="shared" si="90"/>
        <v>0</v>
      </c>
      <c r="AI62" s="217">
        <f t="shared" si="91"/>
        <v>6.6226275000000001</v>
      </c>
      <c r="AK62" s="472" t="str">
        <f>F62</f>
        <v>AGDFL</v>
      </c>
      <c r="AL62" s="468" t="s">
        <v>53</v>
      </c>
      <c r="AM62" s="469">
        <f>H79/1000</f>
        <v>0</v>
      </c>
      <c r="AN62" s="470">
        <f t="shared" si="82"/>
        <v>0</v>
      </c>
      <c r="AO62" s="471">
        <f t="shared" si="83"/>
        <v>0</v>
      </c>
      <c r="AP62" s="471">
        <f t="shared" si="84"/>
        <v>0</v>
      </c>
      <c r="AQ62" s="481">
        <f t="shared" si="21"/>
        <v>0</v>
      </c>
      <c r="AR62" s="471">
        <f t="shared" si="22"/>
        <v>0</v>
      </c>
      <c r="AS62" s="477">
        <f t="shared" si="23"/>
        <v>0</v>
      </c>
      <c r="AT62" s="482">
        <f t="shared" si="97"/>
        <v>0</v>
      </c>
      <c r="AU62" s="473">
        <f t="shared" si="97"/>
        <v>0</v>
      </c>
      <c r="AV62" s="474">
        <f t="shared" si="97"/>
        <v>0</v>
      </c>
      <c r="AW62" s="257"/>
      <c r="AX62" s="472" t="str">
        <f t="shared" si="13"/>
        <v>AGDFL</v>
      </c>
      <c r="AY62" s="468" t="s">
        <v>53</v>
      </c>
      <c r="AZ62" s="469">
        <f>H104/1000</f>
        <v>0</v>
      </c>
      <c r="BA62" s="470">
        <f>AZ62*$AN$23</f>
        <v>0</v>
      </c>
      <c r="BB62" s="471">
        <f t="shared" si="65"/>
        <v>0</v>
      </c>
      <c r="BC62" s="471">
        <f t="shared" si="66"/>
        <v>0</v>
      </c>
      <c r="BD62" s="482">
        <f>IFERROR(J62*$Z62*$AA$62/J$21,0)</f>
        <v>0</v>
      </c>
      <c r="BE62" s="473">
        <f>IFERROR(K62*$Z62*$AA$62/K$21,0)</f>
        <v>0</v>
      </c>
      <c r="BF62" s="474">
        <f>IFERROR(L62*$Z62*$AA$62/L$21,0)</f>
        <v>0</v>
      </c>
      <c r="BG62" s="482">
        <f t="shared" si="98"/>
        <v>0</v>
      </c>
      <c r="BH62" s="473">
        <f t="shared" si="98"/>
        <v>0</v>
      </c>
      <c r="BI62" s="474">
        <f t="shared" si="98"/>
        <v>0</v>
      </c>
      <c r="BJ62" s="257"/>
      <c r="BK62" s="472" t="str">
        <f>AK62</f>
        <v>AGDFL</v>
      </c>
      <c r="BL62" s="468" t="s">
        <v>53</v>
      </c>
      <c r="BM62" s="469">
        <f>H129/1000</f>
        <v>6.6226275000000001</v>
      </c>
      <c r="BN62" s="470">
        <f>BM62*$AN$23</f>
        <v>6.6226275000000001</v>
      </c>
      <c r="BO62" s="471">
        <f t="shared" si="46"/>
        <v>0</v>
      </c>
      <c r="BP62" s="471">
        <f t="shared" si="47"/>
        <v>0</v>
      </c>
      <c r="BQ62" s="481">
        <f t="shared" si="29"/>
        <v>6.6226275000000001</v>
      </c>
      <c r="BR62" s="471">
        <f t="shared" si="30"/>
        <v>0</v>
      </c>
      <c r="BS62" s="477">
        <f t="shared" si="31"/>
        <v>0</v>
      </c>
      <c r="BT62" s="482">
        <f t="shared" si="99"/>
        <v>6.6226275000000001</v>
      </c>
      <c r="BU62" s="473">
        <f t="shared" si="99"/>
        <v>0</v>
      </c>
      <c r="BV62" s="474">
        <f t="shared" si="99"/>
        <v>0</v>
      </c>
    </row>
    <row r="63" spans="3:78" ht="12.75" customHeight="1">
      <c r="E63" s="41"/>
      <c r="F63" s="41"/>
      <c r="G63" s="24"/>
      <c r="H63" s="24"/>
      <c r="I63" s="257"/>
      <c r="J63" s="24"/>
      <c r="L63" s="259"/>
      <c r="M63" s="30"/>
      <c r="O63" s="257"/>
      <c r="P63" s="248"/>
      <c r="Q63" s="248"/>
      <c r="R63" s="257"/>
      <c r="S63" s="248"/>
      <c r="T63" s="248"/>
      <c r="U63" s="257"/>
      <c r="V63" s="72"/>
      <c r="W63" s="72"/>
      <c r="X63" s="72"/>
      <c r="Y63" s="72"/>
      <c r="Z63" s="72"/>
      <c r="AA63" s="72"/>
      <c r="AB63" s="72"/>
      <c r="AC63" s="72"/>
      <c r="AD63" s="73"/>
      <c r="AE63" s="73"/>
      <c r="AF63" s="73"/>
      <c r="AG63" s="355"/>
      <c r="AH63" s="355"/>
      <c r="AI63" s="355"/>
      <c r="AJ63" s="75"/>
      <c r="AK63" s="75"/>
      <c r="AL63" s="75"/>
      <c r="AM63" s="75"/>
      <c r="AN63" s="75"/>
      <c r="AO63" s="75"/>
      <c r="AP63" s="75"/>
      <c r="BE63" s="257"/>
      <c r="BF63" s="257"/>
    </row>
    <row r="64" spans="3:78" ht="12.75" customHeight="1">
      <c r="C64" s="258"/>
      <c r="D64" s="263"/>
      <c r="E64" s="41"/>
      <c r="F64" s="41"/>
      <c r="G64" s="450"/>
      <c r="H64" s="451"/>
      <c r="I64" s="451"/>
      <c r="J64" s="258"/>
      <c r="K64" s="24"/>
      <c r="L64" s="257"/>
      <c r="O64" s="257"/>
      <c r="P64" s="248"/>
      <c r="Q64" s="248"/>
      <c r="R64" s="257"/>
      <c r="S64" s="248"/>
      <c r="T64" s="248"/>
      <c r="U64" s="257"/>
      <c r="V64" s="39"/>
      <c r="W64" s="28"/>
      <c r="X64" s="39"/>
      <c r="Y64" s="39"/>
      <c r="Z64" s="73"/>
      <c r="AA64" s="73"/>
      <c r="AB64" s="73"/>
      <c r="AC64" s="73"/>
      <c r="AD64" s="75"/>
      <c r="AE64" s="75"/>
      <c r="AF64" s="75"/>
      <c r="AG64" s="75"/>
      <c r="AH64" s="75"/>
      <c r="AI64" s="75"/>
      <c r="AX64" s="347"/>
      <c r="AZ64" s="348"/>
      <c r="BD64" s="257"/>
      <c r="BE64" s="257"/>
      <c r="BF64" s="257"/>
    </row>
    <row r="65" spans="3:40" ht="12.75" customHeight="1">
      <c r="E65" s="41"/>
      <c r="F65" s="41"/>
      <c r="I65" s="259"/>
      <c r="J65" s="74"/>
      <c r="K65" s="24"/>
      <c r="L65" s="257"/>
      <c r="O65" s="257"/>
      <c r="R65" s="257"/>
      <c r="S65" s="76"/>
      <c r="T65" s="76"/>
      <c r="U65" s="76"/>
      <c r="V65" s="76"/>
      <c r="W65" s="76"/>
      <c r="X65" s="76"/>
      <c r="Y65" s="76"/>
      <c r="Z65" s="76"/>
      <c r="AA65" s="76"/>
      <c r="AB65" s="76"/>
      <c r="AC65" s="76"/>
      <c r="AD65" s="1"/>
      <c r="AE65" s="1"/>
      <c r="AF65" s="1"/>
      <c r="AG65" s="1"/>
      <c r="AH65" s="72"/>
      <c r="AI65" s="72"/>
      <c r="AJ65" s="72"/>
      <c r="AK65" s="72"/>
      <c r="AL65" s="72"/>
      <c r="AM65" s="72"/>
      <c r="AN65" s="72"/>
    </row>
    <row r="66" spans="3:40" ht="12.75" customHeight="1">
      <c r="F66" s="74"/>
      <c r="G66" s="76"/>
      <c r="H66" s="76"/>
      <c r="I66" s="76"/>
      <c r="J66" s="76"/>
      <c r="K66" s="76"/>
      <c r="L66" s="76"/>
      <c r="M66" s="76"/>
      <c r="N66" s="76"/>
      <c r="O66" s="76"/>
      <c r="P66" s="76"/>
      <c r="Q66" s="76"/>
      <c r="R66" s="76"/>
      <c r="S66" s="41"/>
      <c r="V66" s="39"/>
      <c r="X66" s="72"/>
      <c r="Y66" s="72"/>
      <c r="Z66" s="72"/>
      <c r="AA66" s="39"/>
      <c r="AB66" s="72"/>
      <c r="AC66" s="75"/>
      <c r="AD66" s="356"/>
      <c r="AE66" s="75"/>
      <c r="AF66" s="453"/>
      <c r="AG66" s="454"/>
      <c r="AH66" s="452"/>
      <c r="AI66" s="452"/>
      <c r="AJ66" s="452"/>
      <c r="AK66" s="452"/>
      <c r="AL66" s="73"/>
      <c r="AM66" s="39"/>
    </row>
    <row r="67" spans="3:40" ht="12.75" customHeight="1">
      <c r="F67" s="74"/>
      <c r="G67" s="76"/>
      <c r="H67" s="76"/>
      <c r="I67" s="76"/>
      <c r="J67" s="76"/>
      <c r="K67" s="41"/>
      <c r="L67" s="263"/>
      <c r="M67" s="41"/>
      <c r="N67" s="41"/>
      <c r="O67" s="263"/>
      <c r="P67" s="41"/>
      <c r="Q67" s="41"/>
      <c r="R67" s="263"/>
      <c r="S67" s="24"/>
      <c r="U67" s="72"/>
      <c r="V67" s="72"/>
      <c r="W67" s="72"/>
      <c r="X67" s="39"/>
      <c r="Y67" s="73"/>
      <c r="Z67" s="73"/>
      <c r="AA67" s="73"/>
      <c r="AC67" s="257"/>
      <c r="AD67" s="257"/>
      <c r="AE67" s="257"/>
    </row>
    <row r="68" spans="3:40" ht="12.75" customHeight="1">
      <c r="L68" s="259"/>
      <c r="O68" s="257"/>
      <c r="Q68" s="79"/>
      <c r="R68" s="24"/>
      <c r="S68" s="24"/>
      <c r="T68" s="28"/>
      <c r="U68" s="28"/>
      <c r="V68" s="257"/>
      <c r="W68" s="257"/>
      <c r="X68" s="257"/>
      <c r="AB68" s="257"/>
      <c r="AC68" s="257"/>
    </row>
    <row r="69" spans="3:40" ht="12.75" customHeight="1">
      <c r="T69" s="257"/>
      <c r="U69" s="257"/>
      <c r="V69" s="257"/>
      <c r="W69" s="257"/>
      <c r="X69" s="257"/>
    </row>
    <row r="70" spans="3:40" ht="12.75" customHeight="1">
      <c r="C70" s="231" t="s">
        <v>383</v>
      </c>
      <c r="E70" s="24"/>
      <c r="F70" s="24"/>
      <c r="G70" s="24"/>
      <c r="H70" s="24"/>
      <c r="I70" s="24"/>
      <c r="J70" s="24"/>
      <c r="K70" s="24"/>
      <c r="O70" s="79"/>
      <c r="T70" s="257"/>
      <c r="U70" s="257"/>
      <c r="V70" s="257"/>
      <c r="W70" s="257"/>
      <c r="X70" s="257"/>
    </row>
    <row r="71" spans="3:40" ht="12.75" customHeight="1">
      <c r="O71" s="79"/>
      <c r="T71" s="257"/>
      <c r="U71" s="257"/>
      <c r="V71" s="257"/>
      <c r="W71" s="257"/>
      <c r="X71" s="257"/>
    </row>
    <row r="72" spans="3:40" ht="12.75" customHeight="1">
      <c r="C72" s="114" t="s">
        <v>142</v>
      </c>
      <c r="E72" s="24"/>
      <c r="F72" s="24"/>
      <c r="G72" s="24"/>
      <c r="H72" s="24"/>
      <c r="I72" s="24"/>
      <c r="J72" s="24"/>
      <c r="K72" s="24"/>
    </row>
    <row r="73" spans="3:40" ht="12.75" customHeight="1">
      <c r="D73" s="80" t="s">
        <v>144</v>
      </c>
      <c r="E73" s="81" t="str">
        <f t="array" ref="E73">+IF(AND(UPPER(TRANSPOSE(T78:T88))=UPPER(MID(D76:N76,4,99))),"Ok","ERROR")</f>
        <v>Ok</v>
      </c>
      <c r="F73" s="24"/>
      <c r="G73" s="24"/>
      <c r="H73" s="24"/>
      <c r="I73" s="24"/>
      <c r="J73" s="24"/>
      <c r="K73" s="24"/>
    </row>
    <row r="74" spans="3:40" ht="12.75" customHeight="1">
      <c r="C74" s="24" t="s">
        <v>182</v>
      </c>
      <c r="O74" s="79"/>
      <c r="T74" s="114" t="s">
        <v>385</v>
      </c>
      <c r="U74" s="114"/>
      <c r="W74" s="114"/>
    </row>
    <row r="75" spans="3:40" ht="12.75" customHeight="1">
      <c r="D75" s="82">
        <v>1</v>
      </c>
      <c r="E75" s="82">
        <f>+D75+1</f>
        <v>2</v>
      </c>
      <c r="F75" s="82">
        <f t="shared" ref="F75:N75" si="100">+E75+1</f>
        <v>3</v>
      </c>
      <c r="G75" s="82">
        <f t="shared" si="100"/>
        <v>4</v>
      </c>
      <c r="H75" s="82">
        <f t="shared" si="100"/>
        <v>5</v>
      </c>
      <c r="I75" s="82">
        <f t="shared" si="100"/>
        <v>6</v>
      </c>
      <c r="J75" s="82">
        <f t="shared" si="100"/>
        <v>7</v>
      </c>
      <c r="K75" s="82">
        <f t="shared" si="100"/>
        <v>8</v>
      </c>
      <c r="L75" s="82">
        <f t="shared" si="100"/>
        <v>9</v>
      </c>
      <c r="M75" s="82">
        <f t="shared" si="100"/>
        <v>10</v>
      </c>
      <c r="N75" s="82">
        <f t="shared" si="100"/>
        <v>11</v>
      </c>
      <c r="O75" s="82">
        <f t="shared" ref="O75" si="101">+N75+1</f>
        <v>12</v>
      </c>
      <c r="P75" s="82">
        <f t="shared" ref="P75" si="102">+O75+1</f>
        <v>13</v>
      </c>
      <c r="Q75"/>
      <c r="R75"/>
      <c r="S75"/>
      <c r="T75" s="40"/>
      <c r="U75" s="40"/>
      <c r="W75" s="40"/>
    </row>
    <row r="76" spans="3:40" ht="12.75" customHeight="1">
      <c r="C76" s="10" t="str">
        <f t="shared" ref="C76:D76" si="103">+D164</f>
        <v>Agg End-use</v>
      </c>
      <c r="D76" s="19" t="str">
        <f t="shared" si="103"/>
        <v>01 Coal</v>
      </c>
      <c r="E76" s="19" t="str">
        <f t="shared" ref="E76" si="104">+F164</f>
        <v>02 Fuel oil</v>
      </c>
      <c r="F76" s="19" t="str">
        <f t="shared" ref="F76" si="105">+G164</f>
        <v>03 Diesel</v>
      </c>
      <c r="G76" s="19" t="str">
        <f t="shared" ref="G76" si="106">+H164</f>
        <v>04 Gasoline</v>
      </c>
      <c r="H76" s="19" t="str">
        <f t="shared" ref="H76" si="107">+I164</f>
        <v>05 LPG</v>
      </c>
      <c r="I76" s="19" t="str">
        <f t="shared" ref="I76" si="108">+J164</f>
        <v>06 Manufactured gases</v>
      </c>
      <c r="J76" s="19" t="str">
        <f t="shared" ref="J76" si="109">+K164</f>
        <v>07 Natural gas</v>
      </c>
      <c r="K76" s="19" t="str">
        <f t="shared" ref="K76" si="110">+L164</f>
        <v>08 Biogas</v>
      </c>
      <c r="L76" s="19" t="str">
        <f t="shared" ref="L76" si="111">+M164</f>
        <v>09 Biodiesel</v>
      </c>
      <c r="M76" s="19" t="str">
        <f t="shared" ref="M76" si="112">+N164</f>
        <v>10 Biomass</v>
      </c>
      <c r="N76" s="19" t="str">
        <f t="shared" ref="N76" si="113">+O164</f>
        <v>11 Waste</v>
      </c>
      <c r="O76" s="19" t="str">
        <f t="shared" ref="O76" si="114">+P164</f>
        <v>12 Electricity</v>
      </c>
      <c r="P76" s="19" t="str">
        <f t="shared" ref="P76" si="115">+Q164</f>
        <v>13 District Heating</v>
      </c>
      <c r="Q76"/>
      <c r="R76"/>
      <c r="S76"/>
      <c r="T76" s="111" t="s">
        <v>143</v>
      </c>
      <c r="V76" s="112">
        <f>+'Energy matrix'!B3</f>
        <v>2010</v>
      </c>
    </row>
    <row r="77" spans="3:40" ht="12.75" customHeight="1">
      <c r="C77" s="13" t="str">
        <f>$D$165</f>
        <v>Process heat temperature</v>
      </c>
      <c r="D77" s="14">
        <f>+INDEX($E165:$Q165,1,D$75) * INDEX($V$78:$V$93,D$75,1)</f>
        <v>0</v>
      </c>
      <c r="E77" s="14">
        <f>+INDEX($E165:$Q165,1,E$75) * INDEX($V$78:$V$93,E$75,1)</f>
        <v>0</v>
      </c>
      <c r="F77" s="14">
        <f>+INDEX($E165:$Q165,1,F$75) * INDEX($V$78:$V$93,F$75,1)</f>
        <v>0</v>
      </c>
      <c r="G77" s="14">
        <f>+INDEX($E165:$Q165,1,G$75) * INDEX($V$78:$V$93,G$75,1)</f>
        <v>0</v>
      </c>
      <c r="H77" s="14">
        <f>+INDEX($E165:$Q165,1,H$75) * INDEX($V$78:$V$93,H$75,1)</f>
        <v>0</v>
      </c>
      <c r="I77" s="14">
        <f>+INDEX($E165:$Q165,1,I$75) * INDEX($V$78:$V$93,I$75,1)</f>
        <v>0</v>
      </c>
      <c r="J77" s="14">
        <f>+INDEX($E165:$Q165,1,J$75) * INDEX($V$78:$V$93,J$75,1)</f>
        <v>13816.061</v>
      </c>
      <c r="K77" s="14">
        <f>+INDEX($E165:$Q165,1,K$75) * INDEX($V$78:$V$93,K$75,1)</f>
        <v>11864</v>
      </c>
      <c r="L77" s="14">
        <f>+INDEX($E165:$Q165,1,L$75) * INDEX($V$78:$V$93,L$75,1)</f>
        <v>0</v>
      </c>
      <c r="M77" s="14">
        <f>+INDEX($E165:$Q165,1,M$75) * INDEX($V$78:$V$93,M$75,1)</f>
        <v>5457</v>
      </c>
      <c r="N77" s="14">
        <f>+INDEX($E165:$Q165,1,N$75) * INDEX($V$78:$V$93,N$75,1)</f>
        <v>0</v>
      </c>
      <c r="O77" s="14">
        <f>+INDEX($E165:$Q165,1,O$75) * INDEX($V$78:$V$93,O$75,1)</f>
        <v>0</v>
      </c>
      <c r="P77" s="14">
        <f>+INDEX($E165:$Q165,1,P$75) * INDEX($V$78:$V$93,P$75,1)</f>
        <v>0</v>
      </c>
      <c r="Q77"/>
      <c r="R77"/>
      <c r="S77"/>
      <c r="T77" s="607" t="s">
        <v>379</v>
      </c>
      <c r="U77" s="607"/>
      <c r="V77" s="608" t="str">
        <f>+INDEX('Energy matrix'!C4:N4,1,$D$2)</f>
        <v xml:space="preserve">Agriculture, forestry and fishing </v>
      </c>
      <c r="W77" s="607"/>
      <c r="X77" s="82" t="s">
        <v>44</v>
      </c>
    </row>
    <row r="78" spans="3:40" ht="12.75" customHeight="1">
      <c r="C78" s="13" t="str">
        <f>$D$166</f>
        <v>Cooling demand</v>
      </c>
      <c r="D78" s="14">
        <f>+INDEX($E166:$Q166,1,D$75) * INDEX($V$78:$V$93,D$75,1)</f>
        <v>0</v>
      </c>
      <c r="E78" s="14">
        <f>+INDEX($E166:$Q166,1,E$75) * INDEX($V$78:$V$93,E$75,1)</f>
        <v>0</v>
      </c>
      <c r="F78" s="14">
        <f>+INDEX($E166:$Q166,1,F$75) * INDEX($V$78:$V$93,F$75,1)</f>
        <v>0</v>
      </c>
      <c r="G78" s="14">
        <f>+INDEX($E166:$Q166,1,G$75) * INDEX($V$78:$V$93,G$75,1)</f>
        <v>0</v>
      </c>
      <c r="H78" s="14">
        <f>+INDEX($E166:$Q166,1,H$75) * INDEX($V$78:$V$93,H$75,1)</f>
        <v>0</v>
      </c>
      <c r="I78" s="14">
        <f>+INDEX($E166:$Q166,1,I$75) * INDEX($V$78:$V$93,I$75,1)</f>
        <v>0</v>
      </c>
      <c r="J78" s="14">
        <f>+INDEX($E166:$Q166,1,J$75) * INDEX($V$78:$V$93,J$75,1)</f>
        <v>0</v>
      </c>
      <c r="K78" s="14">
        <f>+INDEX($E166:$Q166,1,K$75) * INDEX($V$78:$V$93,K$75,1)</f>
        <v>0</v>
      </c>
      <c r="L78" s="14">
        <f>+INDEX($E166:$Q166,1,L$75) * INDEX($V$78:$V$93,L$75,1)</f>
        <v>0</v>
      </c>
      <c r="M78" s="14">
        <f>+INDEX($E166:$Q166,1,M$75) * INDEX($V$78:$V$93,M$75,1)</f>
        <v>0</v>
      </c>
      <c r="N78" s="14">
        <f>+INDEX($E166:$Q166,1,N$75) * INDEX($V$78:$V$93,N$75,1)</f>
        <v>0</v>
      </c>
      <c r="O78" s="14">
        <f>+INDEX($E166:$Q166,1,O$75) * INDEX($V$78:$V$93,O$75,1)</f>
        <v>2115.36</v>
      </c>
      <c r="P78" s="14">
        <f>+INDEX($E166:$Q166,1,P$75) * INDEX($V$78:$V$93,P$75,1)</f>
        <v>0</v>
      </c>
      <c r="Q78"/>
      <c r="R78"/>
      <c r="S78"/>
      <c r="T78" s="106" t="str">
        <f>+'Energy matrix'!B5</f>
        <v>Coal</v>
      </c>
      <c r="U78" s="106"/>
      <c r="V78" s="107">
        <f>+INDEX('Energy matrix'!C5:N5,1,$D$2)</f>
        <v>0</v>
      </c>
      <c r="W78" s="106"/>
      <c r="X78" s="82">
        <f>V78/1000</f>
        <v>0</v>
      </c>
    </row>
    <row r="79" spans="3:40" ht="12.75" customHeight="1">
      <c r="C79" s="13" t="str">
        <f>$D$167</f>
        <v>Haullage</v>
      </c>
      <c r="D79" s="14">
        <f>+INDEX($E167:$Q167,1,D$75) * INDEX($V$78:$V$93,D$75,1)</f>
        <v>0</v>
      </c>
      <c r="E79" s="14">
        <f>+INDEX($E167:$Q167,1,E$75) * INDEX($V$78:$V$93,E$75,1)</f>
        <v>0</v>
      </c>
      <c r="F79" s="14">
        <f>+INDEX($E167:$Q167,1,F$75) * INDEX($V$78:$V$93,F$75,1)</f>
        <v>0</v>
      </c>
      <c r="G79" s="14">
        <f>+INDEX($E167:$Q167,1,G$75) * INDEX($V$78:$V$93,G$75,1)</f>
        <v>0</v>
      </c>
      <c r="H79" s="14">
        <f>+INDEX($E167:$Q167,1,H$75) * INDEX($V$78:$V$93,H$75,1)</f>
        <v>0</v>
      </c>
      <c r="I79" s="14">
        <f>+INDEX($E167:$Q167,1,I$75) * INDEX($V$78:$V$93,I$75,1)</f>
        <v>0</v>
      </c>
      <c r="J79" s="14">
        <f>+INDEX($E167:$Q167,1,J$75) * INDEX($V$78:$V$93,J$75,1)</f>
        <v>0</v>
      </c>
      <c r="K79" s="14">
        <f>+INDEX($E167:$Q167,1,K$75) * INDEX($V$78:$V$93,K$75,1)</f>
        <v>0</v>
      </c>
      <c r="L79" s="14">
        <f>+INDEX($E167:$Q167,1,L$75) * INDEX($V$78:$V$93,L$75,1)</f>
        <v>1571.3719999999998</v>
      </c>
      <c r="M79" s="14">
        <f>+INDEX($E167:$Q167,1,M$75) * INDEX($V$78:$V$93,M$75,1)</f>
        <v>0</v>
      </c>
      <c r="N79" s="14">
        <f>+INDEX($E167:$Q167,1,N$75) * INDEX($V$78:$V$93,N$75,1)</f>
        <v>0</v>
      </c>
      <c r="O79" s="14">
        <f>+INDEX($E167:$Q167,1,O$75) * INDEX($V$78:$V$93,O$75,1)</f>
        <v>0</v>
      </c>
      <c r="P79" s="14">
        <f>+INDEX($E167:$Q167,1,P$75) * INDEX($V$78:$V$93,P$75,1)</f>
        <v>0</v>
      </c>
      <c r="Q79"/>
      <c r="R79"/>
      <c r="S79"/>
      <c r="T79" s="106" t="str">
        <f>+'Energy matrix'!B6</f>
        <v>Fuel Oil</v>
      </c>
      <c r="U79" s="82"/>
      <c r="V79" s="107">
        <f>+INDEX('Energy matrix'!C6:N6,1,$D$2)</f>
        <v>0</v>
      </c>
      <c r="W79" s="106"/>
      <c r="X79" s="82">
        <f t="shared" ref="X79:X91" si="116">V79/1000</f>
        <v>0</v>
      </c>
    </row>
    <row r="80" spans="3:40" ht="12.75" customHeight="1">
      <c r="C80" s="13" t="str">
        <f>$D$168</f>
        <v>Light and electronics</v>
      </c>
      <c r="D80" s="14">
        <f>+INDEX($E168:$Q168,1,D$75) * INDEX($V$78:$V$93,D$75,1)</f>
        <v>0</v>
      </c>
      <c r="E80" s="14">
        <f>+INDEX($E168:$Q168,1,E$75) * INDEX($V$78:$V$93,E$75,1)</f>
        <v>0</v>
      </c>
      <c r="F80" s="14">
        <f>+INDEX($E168:$Q168,1,F$75) * INDEX($V$78:$V$93,F$75,1)</f>
        <v>0</v>
      </c>
      <c r="G80" s="14">
        <f>+INDEX($E168:$Q168,1,G$75) * INDEX($V$78:$V$93,G$75,1)</f>
        <v>0</v>
      </c>
      <c r="H80" s="14">
        <f>+INDEX($E168:$Q168,1,H$75) * INDEX($V$78:$V$93,H$75,1)</f>
        <v>0</v>
      </c>
      <c r="I80" s="14">
        <f>+INDEX($E168:$Q168,1,I$75) * INDEX($V$78:$V$93,I$75,1)</f>
        <v>0</v>
      </c>
      <c r="J80" s="14">
        <f>+INDEX($E168:$Q168,1,J$75) * INDEX($V$78:$V$93,J$75,1)</f>
        <v>0</v>
      </c>
      <c r="K80" s="14">
        <f>+INDEX($E168:$Q168,1,K$75) * INDEX($V$78:$V$93,K$75,1)</f>
        <v>0</v>
      </c>
      <c r="L80" s="14">
        <f>+INDEX($E168:$Q168,1,L$75) * INDEX($V$78:$V$93,L$75,1)</f>
        <v>0</v>
      </c>
      <c r="M80" s="14">
        <f>+INDEX($E168:$Q168,1,M$75) * INDEX($V$78:$V$93,M$75,1)</f>
        <v>0</v>
      </c>
      <c r="N80" s="14">
        <f>+INDEX($E168:$Q168,1,N$75) * INDEX($V$78:$V$93,N$75,1)</f>
        <v>0</v>
      </c>
      <c r="O80" s="14">
        <f>+INDEX($E168:$Q168,1,O$75) * INDEX($V$78:$V$93,O$75,1)</f>
        <v>4621.1624771048437</v>
      </c>
      <c r="P80" s="14">
        <f>+INDEX($E168:$Q168,1,P$75) * INDEX($V$78:$V$93,P$75,1)</f>
        <v>0</v>
      </c>
      <c r="Q80"/>
      <c r="R80"/>
      <c r="S80"/>
      <c r="T80" s="106" t="str">
        <f>+'Energy matrix'!B7</f>
        <v>Diesel</v>
      </c>
      <c r="U80" s="106"/>
      <c r="V80" s="107">
        <f>+INDEX('Energy matrix'!C7:N7,1,$D$2)</f>
        <v>0</v>
      </c>
      <c r="W80" s="106"/>
      <c r="X80" s="82">
        <f t="shared" si="116"/>
        <v>0</v>
      </c>
    </row>
    <row r="81" spans="3:28" ht="12.75" customHeight="1">
      <c r="C81" s="13" t="str">
        <f>$D$169</f>
        <v>Electric motors</v>
      </c>
      <c r="D81" s="14">
        <f>+INDEX($E169:$Q169,1,D$75) * INDEX($V$78:$V$93,D$75,1)</f>
        <v>0</v>
      </c>
      <c r="E81" s="14">
        <f>+INDEX($E169:$Q169,1,E$75) * INDEX($V$78:$V$93,E$75,1)</f>
        <v>0</v>
      </c>
      <c r="F81" s="14">
        <f>+INDEX($E169:$Q169,1,F$75) * INDEX($V$78:$V$93,F$75,1)</f>
        <v>0</v>
      </c>
      <c r="G81" s="14">
        <f>+INDEX($E169:$Q169,1,G$75) * INDEX($V$78:$V$93,G$75,1)</f>
        <v>0</v>
      </c>
      <c r="H81" s="14">
        <f>+INDEX($E169:$Q169,1,H$75) * INDEX($V$78:$V$93,H$75,1)</f>
        <v>0</v>
      </c>
      <c r="I81" s="14">
        <f>+INDEX($E169:$Q169,1,I$75) * INDEX($V$78:$V$93,I$75,1)</f>
        <v>0</v>
      </c>
      <c r="J81" s="14">
        <f>+INDEX($E169:$Q169,1,J$75) * INDEX($V$78:$V$93,J$75,1)</f>
        <v>0</v>
      </c>
      <c r="K81" s="14">
        <f>+INDEX($E169:$Q169,1,K$75) * INDEX($V$78:$V$93,K$75,1)</f>
        <v>0</v>
      </c>
      <c r="L81" s="14">
        <f>+INDEX($E169:$Q169,1,L$75) * INDEX($V$78:$V$93,L$75,1)</f>
        <v>0</v>
      </c>
      <c r="M81" s="14">
        <f>+INDEX($E169:$Q169,1,M$75) * INDEX($V$78:$V$93,M$75,1)</f>
        <v>0</v>
      </c>
      <c r="N81" s="14">
        <f>+INDEX($E169:$Q169,1,N$75) * INDEX($V$78:$V$93,N$75,1)</f>
        <v>0</v>
      </c>
      <c r="O81" s="14">
        <f>+INDEX($E169:$Q169,1,O$75) * INDEX($V$78:$V$93,O$75,1)</f>
        <v>13831.96916111692</v>
      </c>
      <c r="P81" s="14">
        <f>+INDEX($E169:$Q169,1,P$75) * INDEX($V$78:$V$93,P$75,1)</f>
        <v>0</v>
      </c>
      <c r="Q81"/>
      <c r="R81"/>
      <c r="S81"/>
      <c r="T81" s="106" t="str">
        <f>+'Energy matrix'!B8</f>
        <v>Gasoline</v>
      </c>
      <c r="U81" s="106"/>
      <c r="V81" s="107">
        <f>+INDEX('Energy matrix'!C8:N8,1,$D$2)</f>
        <v>0</v>
      </c>
      <c r="W81" s="106"/>
      <c r="X81" s="82">
        <f t="shared" si="116"/>
        <v>0</v>
      </c>
    </row>
    <row r="82" spans="3:28" ht="12.75" customHeight="1">
      <c r="C82" s="13" t="str">
        <f>$D$170</f>
        <v>Spatial heating</v>
      </c>
      <c r="D82" s="14">
        <f>+INDEX($E170:$Q170,1,D$75) * INDEX($V$78:$V$93,D$75,1)</f>
        <v>0</v>
      </c>
      <c r="E82" s="14">
        <f>+INDEX($E170:$Q170,1,E$75) * INDEX($V$78:$V$93,E$75,1)</f>
        <v>0</v>
      </c>
      <c r="F82" s="14">
        <f>+INDEX($E170:$Q170,1,F$75) * INDEX($V$78:$V$93,F$75,1)</f>
        <v>0</v>
      </c>
      <c r="G82" s="14">
        <f>+INDEX($E170:$Q170,1,G$75) * INDEX($V$78:$V$93,G$75,1)</f>
        <v>0</v>
      </c>
      <c r="H82" s="14">
        <f>+INDEX($E170:$Q170,1,H$75) * INDEX($V$78:$V$93,H$75,1)</f>
        <v>0</v>
      </c>
      <c r="I82" s="14">
        <f>+INDEX($E170:$Q170,1,I$75) * INDEX($V$78:$V$93,I$75,1)</f>
        <v>0</v>
      </c>
      <c r="J82" s="14">
        <f>+INDEX($E170:$Q170,1,J$75) * INDEX($V$78:$V$93,J$75,1)</f>
        <v>0</v>
      </c>
      <c r="K82" s="14">
        <f>+INDEX($E170:$Q170,1,K$75) * INDEX($V$78:$V$93,K$75,1)</f>
        <v>0</v>
      </c>
      <c r="L82" s="14">
        <f>+INDEX($E170:$Q170,1,L$75) * INDEX($V$78:$V$93,L$75,1)</f>
        <v>0</v>
      </c>
      <c r="M82" s="14">
        <f>+INDEX($E170:$Q170,1,M$75) * INDEX($V$78:$V$93,M$75,1)</f>
        <v>0</v>
      </c>
      <c r="N82" s="14">
        <f>+INDEX($E170:$Q170,1,N$75) * INDEX($V$78:$V$93,N$75,1)</f>
        <v>0</v>
      </c>
      <c r="O82" s="14">
        <f>+INDEX($E170:$Q170,1,O$75) * INDEX($V$78:$V$93,O$75,1)</f>
        <v>660.32436010204822</v>
      </c>
      <c r="P82" s="14">
        <f>+INDEX($E170:$Q170,1,P$75) * INDEX($V$78:$V$93,P$75,1)</f>
        <v>0</v>
      </c>
      <c r="Q82"/>
      <c r="R82"/>
      <c r="S82"/>
      <c r="T82" s="106" t="str">
        <f>+'Energy matrix'!B9</f>
        <v>LPG</v>
      </c>
      <c r="U82" s="106"/>
      <c r="V82" s="107">
        <f>+INDEX('Energy matrix'!C9:N9,1,$D$2)</f>
        <v>0</v>
      </c>
      <c r="W82" s="106"/>
      <c r="X82" s="82">
        <f t="shared" si="116"/>
        <v>0</v>
      </c>
    </row>
    <row r="83" spans="3:28" ht="12.75" customHeight="1">
      <c r="C83" s="17" t="s">
        <v>57</v>
      </c>
      <c r="D83" s="18">
        <f t="shared" ref="D83:N83" si="117">SUM(D77:D82)</f>
        <v>0</v>
      </c>
      <c r="E83" s="18">
        <f t="shared" si="117"/>
        <v>0</v>
      </c>
      <c r="F83" s="18">
        <f t="shared" si="117"/>
        <v>0</v>
      </c>
      <c r="G83" s="18">
        <f t="shared" si="117"/>
        <v>0</v>
      </c>
      <c r="H83" s="18">
        <f t="shared" si="117"/>
        <v>0</v>
      </c>
      <c r="I83" s="18">
        <f t="shared" si="117"/>
        <v>0</v>
      </c>
      <c r="J83" s="18">
        <f t="shared" si="117"/>
        <v>13816.061</v>
      </c>
      <c r="K83" s="18">
        <f t="shared" si="117"/>
        <v>11864</v>
      </c>
      <c r="L83" s="18">
        <f t="shared" si="117"/>
        <v>1571.3719999999998</v>
      </c>
      <c r="M83" s="18">
        <f t="shared" si="117"/>
        <v>5457</v>
      </c>
      <c r="N83" s="18">
        <f t="shared" si="117"/>
        <v>0</v>
      </c>
      <c r="O83" s="18">
        <f t="shared" ref="O83:P83" si="118">SUM(O77:O82)</f>
        <v>21228.815998323811</v>
      </c>
      <c r="P83" s="18">
        <f t="shared" si="118"/>
        <v>0</v>
      </c>
      <c r="Q83"/>
      <c r="R83"/>
      <c r="S83"/>
      <c r="T83" s="106" t="str">
        <f>+'Energy matrix'!B10</f>
        <v>Manufactured gases</v>
      </c>
      <c r="U83" s="106"/>
      <c r="V83" s="107">
        <f>+INDEX('Energy matrix'!C10:N10,1,$D$2)</f>
        <v>0</v>
      </c>
      <c r="W83" s="106"/>
      <c r="X83" s="82">
        <f t="shared" si="116"/>
        <v>0</v>
      </c>
    </row>
    <row r="84" spans="3:28" ht="12.75" customHeight="1">
      <c r="E84" s="24"/>
      <c r="F84" s="24"/>
      <c r="G84" s="24"/>
      <c r="H84" s="24"/>
      <c r="I84" s="24"/>
      <c r="J84" s="24"/>
      <c r="K84" s="24"/>
      <c r="O84" s="79"/>
      <c r="T84" s="106" t="str">
        <f>+'Energy matrix'!B11</f>
        <v>Natural gas</v>
      </c>
      <c r="U84" s="106"/>
      <c r="V84" s="107">
        <f>+INDEX('Energy matrix'!C11:N11,1,$D$2)</f>
        <v>13816.061</v>
      </c>
      <c r="W84" s="106"/>
      <c r="X84" s="82">
        <f t="shared" si="116"/>
        <v>13.816060999999999</v>
      </c>
    </row>
    <row r="85" spans="3:28" ht="12.75" customHeight="1">
      <c r="E85" s="24"/>
      <c r="F85" s="24"/>
      <c r="G85" s="24"/>
      <c r="H85" s="24"/>
      <c r="I85" s="24"/>
      <c r="J85" s="24"/>
      <c r="K85" s="24"/>
      <c r="O85" s="79"/>
      <c r="T85" s="106" t="str">
        <f>+'Energy matrix'!B12</f>
        <v>Biogas</v>
      </c>
      <c r="U85" s="106"/>
      <c r="V85" s="107">
        <f>+INDEX('Energy matrix'!C12:N12,1,$D$2)</f>
        <v>11864</v>
      </c>
      <c r="W85" s="106"/>
      <c r="X85" s="82">
        <f t="shared" si="116"/>
        <v>11.864000000000001</v>
      </c>
      <c r="AB85" s="78"/>
    </row>
    <row r="86" spans="3:28" ht="12.75" customHeight="1">
      <c r="O86" s="79"/>
      <c r="T86" s="106" t="str">
        <f>+'Energy matrix'!B13</f>
        <v>Biodiesel</v>
      </c>
      <c r="U86" s="106"/>
      <c r="V86" s="107">
        <f>+INDEX('Energy matrix'!C13:N13,1,$D$2)</f>
        <v>1571.3719999999998</v>
      </c>
      <c r="W86" s="106"/>
      <c r="X86" s="82">
        <f t="shared" si="116"/>
        <v>1.5713719999999998</v>
      </c>
    </row>
    <row r="87" spans="3:28" ht="12.75" customHeight="1">
      <c r="O87" s="79"/>
      <c r="T87" s="106" t="str">
        <f>+'Energy matrix'!B14</f>
        <v>Biomass</v>
      </c>
      <c r="U87" s="106"/>
      <c r="V87" s="107">
        <f>+INDEX('Energy matrix'!C14:N14,1,$D$2)</f>
        <v>5457</v>
      </c>
      <c r="W87" s="106"/>
      <c r="X87" s="82">
        <f t="shared" si="116"/>
        <v>5.4569999999999999</v>
      </c>
    </row>
    <row r="88" spans="3:28" ht="12.75" customHeight="1">
      <c r="O88" s="79"/>
      <c r="T88" s="106" t="str">
        <f>+'Energy matrix'!B15</f>
        <v>Waste</v>
      </c>
      <c r="U88" s="110"/>
      <c r="V88" s="107">
        <f>+INDEX('Energy matrix'!C15:N15,1,$D$2)</f>
        <v>0</v>
      </c>
      <c r="W88" s="110"/>
      <c r="X88" s="82">
        <f t="shared" si="116"/>
        <v>0</v>
      </c>
    </row>
    <row r="89" spans="3:28" ht="12.75" customHeight="1">
      <c r="O89" s="79"/>
      <c r="T89" s="106" t="str">
        <f>+'Energy matrix'!B16</f>
        <v>Electricity</v>
      </c>
      <c r="U89" s="609"/>
      <c r="V89" s="107">
        <f>+INDEX('Energy matrix'!C16:N16,1,$D$2)</f>
        <v>21153.599999999999</v>
      </c>
      <c r="W89" s="609"/>
      <c r="X89" s="82">
        <f t="shared" si="116"/>
        <v>21.153599999999997</v>
      </c>
    </row>
    <row r="90" spans="3:28" s="257" customFormat="1" ht="12.75" customHeight="1">
      <c r="O90" s="79"/>
      <c r="R90" s="258"/>
      <c r="S90" s="258"/>
      <c r="T90" s="106" t="str">
        <f>+'Energy matrix'!B17</f>
        <v>District Heating</v>
      </c>
      <c r="U90" s="82"/>
      <c r="V90" s="107">
        <f>+INDEX('Energy matrix'!C17:N17,1,$D$2)</f>
        <v>0</v>
      </c>
      <c r="W90" s="106"/>
      <c r="X90" s="82">
        <f t="shared" si="116"/>
        <v>0</v>
      </c>
    </row>
    <row r="91" spans="3:28" s="257" customFormat="1" ht="12.75" customHeight="1">
      <c r="O91" s="79"/>
      <c r="R91" s="258"/>
      <c r="S91" s="258"/>
      <c r="T91" s="106" t="s">
        <v>57</v>
      </c>
      <c r="U91" s="106"/>
      <c r="V91" s="107">
        <f>SUM(V78:V90)</f>
        <v>53862.032999999996</v>
      </c>
      <c r="W91" s="106"/>
      <c r="X91" s="82">
        <f t="shared" si="116"/>
        <v>53.862032999999997</v>
      </c>
    </row>
    <row r="92" spans="3:28" s="257" customFormat="1" ht="12.75" customHeight="1">
      <c r="O92" s="79"/>
      <c r="R92" s="258"/>
      <c r="S92" s="258"/>
      <c r="T92" s="106"/>
      <c r="U92" s="106"/>
      <c r="V92" s="107"/>
      <c r="W92" s="106"/>
      <c r="X92" s="82"/>
    </row>
    <row r="93" spans="3:28" s="257" customFormat="1" ht="12.75" customHeight="1">
      <c r="O93" s="79"/>
      <c r="R93" s="258"/>
      <c r="S93" s="258"/>
      <c r="T93" s="106"/>
      <c r="U93" s="106"/>
      <c r="V93" s="107"/>
      <c r="W93" s="106"/>
      <c r="X93" s="82"/>
    </row>
    <row r="94" spans="3:28" s="257" customFormat="1" ht="12.75" customHeight="1">
      <c r="O94" s="79"/>
      <c r="R94" s="258"/>
      <c r="S94" s="258"/>
      <c r="T94" s="106"/>
      <c r="U94" s="106"/>
      <c r="V94" s="107"/>
      <c r="W94" s="106"/>
      <c r="X94" s="82"/>
    </row>
    <row r="95" spans="3:28" s="257" customFormat="1" ht="12.75" customHeight="1">
      <c r="O95" s="79"/>
      <c r="R95" s="258"/>
      <c r="S95" s="258"/>
    </row>
    <row r="96" spans="3:28" s="257" customFormat="1" ht="12.75" customHeight="1">
      <c r="C96" s="231" t="s">
        <v>435</v>
      </c>
      <c r="E96" s="57"/>
      <c r="F96" s="57"/>
      <c r="G96" s="259"/>
      <c r="H96" s="259"/>
      <c r="I96" s="259"/>
      <c r="J96" s="259"/>
      <c r="K96" s="259"/>
      <c r="O96" s="79"/>
      <c r="R96" s="258"/>
      <c r="S96" s="258"/>
      <c r="X96" s="24"/>
    </row>
    <row r="97" spans="3:24" s="257" customFormat="1" ht="12.75" customHeight="1">
      <c r="C97" s="114" t="s">
        <v>142</v>
      </c>
      <c r="R97" s="258"/>
      <c r="S97" s="258"/>
      <c r="T97" s="232"/>
      <c r="U97" s="232"/>
      <c r="V97" s="233"/>
      <c r="W97" s="232"/>
      <c r="X97" s="24"/>
    </row>
    <row r="98" spans="3:24" s="257" customFormat="1" ht="12.75" customHeight="1">
      <c r="D98" s="80" t="s">
        <v>144</v>
      </c>
      <c r="E98" s="81" t="str">
        <f t="array" ref="E98">+IF(AND(UPPER(TRANSPOSE(T103:T113))=UPPER(MID(D101:N101,4,99))),"Ok","ERROR")</f>
        <v>Ok</v>
      </c>
      <c r="R98" s="258"/>
      <c r="S98" s="258"/>
      <c r="T98" s="232"/>
      <c r="U98" s="232"/>
      <c r="V98" s="233"/>
      <c r="W98" s="232"/>
      <c r="X98" s="24"/>
    </row>
    <row r="99" spans="3:24" s="257" customFormat="1" ht="12.75" customHeight="1">
      <c r="C99" s="257" t="s">
        <v>182</v>
      </c>
      <c r="E99" s="57"/>
      <c r="F99" s="57"/>
      <c r="G99" s="259"/>
      <c r="H99" s="259"/>
      <c r="I99" s="259"/>
      <c r="J99" s="259"/>
      <c r="K99" s="259"/>
      <c r="O99" s="79"/>
      <c r="R99" s="258"/>
      <c r="S99" s="258"/>
      <c r="T99" s="114" t="s">
        <v>436</v>
      </c>
      <c r="U99" s="114"/>
      <c r="W99" s="114"/>
    </row>
    <row r="100" spans="3:24" s="257" customFormat="1" ht="12.75" customHeight="1">
      <c r="D100" s="82">
        <v>1</v>
      </c>
      <c r="E100" s="82">
        <f>+D100+1</f>
        <v>2</v>
      </c>
      <c r="F100" s="82">
        <f t="shared" ref="F100" si="119">+E100+1</f>
        <v>3</v>
      </c>
      <c r="G100" s="82">
        <f t="shared" ref="G100" si="120">+F100+1</f>
        <v>4</v>
      </c>
      <c r="H100" s="82">
        <f t="shared" ref="H100" si="121">+G100+1</f>
        <v>5</v>
      </c>
      <c r="I100" s="82">
        <f t="shared" ref="I100" si="122">+H100+1</f>
        <v>6</v>
      </c>
      <c r="J100" s="82">
        <f t="shared" ref="J100" si="123">+I100+1</f>
        <v>7</v>
      </c>
      <c r="K100" s="82">
        <f t="shared" ref="K100" si="124">+J100+1</f>
        <v>8</v>
      </c>
      <c r="L100" s="82">
        <f t="shared" ref="L100" si="125">+K100+1</f>
        <v>9</v>
      </c>
      <c r="M100" s="82">
        <f t="shared" ref="M100" si="126">+L100+1</f>
        <v>10</v>
      </c>
      <c r="N100" s="82">
        <f t="shared" ref="N100" si="127">+M100+1</f>
        <v>11</v>
      </c>
      <c r="O100" s="82">
        <f t="shared" ref="O100" si="128">+N100+1</f>
        <v>12</v>
      </c>
      <c r="P100" s="82">
        <f t="shared" ref="P100" si="129">+O100+1</f>
        <v>13</v>
      </c>
      <c r="Q100"/>
      <c r="R100"/>
      <c r="S100"/>
      <c r="T100" s="261"/>
      <c r="U100" s="261"/>
      <c r="W100" s="261"/>
    </row>
    <row r="101" spans="3:24" s="257" customFormat="1" ht="12.75" customHeight="1">
      <c r="C101" s="10" t="str">
        <f t="shared" ref="C101" si="130">+D164</f>
        <v>Agg End-use</v>
      </c>
      <c r="D101" s="19" t="str">
        <f>D76</f>
        <v>01 Coal</v>
      </c>
      <c r="E101" s="19" t="str">
        <f t="shared" ref="E101:O101" si="131">E76</f>
        <v>02 Fuel oil</v>
      </c>
      <c r="F101" s="19" t="str">
        <f t="shared" si="131"/>
        <v>03 Diesel</v>
      </c>
      <c r="G101" s="19" t="str">
        <f t="shared" si="131"/>
        <v>04 Gasoline</v>
      </c>
      <c r="H101" s="19" t="str">
        <f t="shared" si="131"/>
        <v>05 LPG</v>
      </c>
      <c r="I101" s="19" t="str">
        <f t="shared" si="131"/>
        <v>06 Manufactured gases</v>
      </c>
      <c r="J101" s="19" t="str">
        <f t="shared" si="131"/>
        <v>07 Natural gas</v>
      </c>
      <c r="K101" s="19" t="str">
        <f>K76</f>
        <v>08 Biogas</v>
      </c>
      <c r="L101" s="19" t="str">
        <f t="shared" si="131"/>
        <v>09 Biodiesel</v>
      </c>
      <c r="M101" s="19" t="str">
        <f t="shared" si="131"/>
        <v>10 Biomass</v>
      </c>
      <c r="N101" s="19" t="str">
        <f t="shared" si="131"/>
        <v>11 Waste</v>
      </c>
      <c r="O101" s="19" t="str">
        <f>O76</f>
        <v>12 Electricity</v>
      </c>
      <c r="P101" s="174" t="str">
        <f>P76</f>
        <v>13 District Heating</v>
      </c>
      <c r="Q101"/>
      <c r="R101"/>
      <c r="S101"/>
      <c r="T101" s="111" t="s">
        <v>143</v>
      </c>
      <c r="V101" s="112">
        <v>2015</v>
      </c>
    </row>
    <row r="102" spans="3:24" s="257" customFormat="1" ht="12.75" customHeight="1">
      <c r="C102" s="13" t="str">
        <f>$D$165</f>
        <v>Process heat temperature</v>
      </c>
      <c r="D102" s="14">
        <f>+INDEX($E165:$Q165,1,D$100) * INDEX($V$103:$V$119,D$100,1)</f>
        <v>0</v>
      </c>
      <c r="E102" s="14">
        <f>+INDEX($E165:$Q165,1,E$100) * INDEX($V$103:$V$119,E$100,1)</f>
        <v>0</v>
      </c>
      <c r="F102" s="14">
        <f>+INDEX($E165:$Q165,1,F$100) * INDEX($V$103:$V$119,F$100,1)</f>
        <v>0</v>
      </c>
      <c r="G102" s="14">
        <f>+INDEX($E165:$Q165,1,G$100) * INDEX($V$103:$V$119,G$100,1)</f>
        <v>0</v>
      </c>
      <c r="H102" s="14">
        <f>+INDEX($E165:$Q165,1,H$100) * INDEX($V$103:$V$119,H$100,1)</f>
        <v>0</v>
      </c>
      <c r="I102" s="14">
        <f>+INDEX($E165:$Q165,1,I$100) * INDEX($V$103:$V$119,I$100,1)</f>
        <v>0</v>
      </c>
      <c r="J102" s="14">
        <f>+INDEX($E165:$Q165,1,J$100) * INDEX($V$103:$V$119,J$100,1)</f>
        <v>13296.6</v>
      </c>
      <c r="K102" s="14">
        <f>+INDEX($E165:$Q165,1,K$100) * INDEX($V$103:$V$119,K$100,1)</f>
        <v>22744</v>
      </c>
      <c r="L102" s="14">
        <f>+INDEX($E165:$Q165,1,L$100) * INDEX($V$103:$V$119,L$100,1)</f>
        <v>0</v>
      </c>
      <c r="M102" s="14">
        <f>+INDEX($E165:$Q165,1,M$100) * INDEX($V$103:$V$119,M$100,1)</f>
        <v>4379</v>
      </c>
      <c r="N102" s="14">
        <f>+INDEX($E165:$Q165,1,N$100) * INDEX($V$103:$V$119,N$100,1)</f>
        <v>0</v>
      </c>
      <c r="O102" s="14">
        <f>+INDEX($E165:$Q165,1,O$100) * INDEX($V$103:$V$119,O$100,1)</f>
        <v>0</v>
      </c>
      <c r="P102" s="14">
        <f>+INDEX($E165:$Q165,1,P$100) * INDEX($V$103:$V$119,P$100,1)</f>
        <v>0</v>
      </c>
      <c r="Q102"/>
      <c r="R102"/>
      <c r="S102"/>
      <c r="T102" s="42" t="s">
        <v>379</v>
      </c>
      <c r="U102" s="42"/>
      <c r="V102" s="113" t="str">
        <f>+INDEX('Energy matrix'!C25:N25,1,$D$2)</f>
        <v xml:space="preserve">Agriculture, forestry and fishing </v>
      </c>
      <c r="W102" s="42"/>
      <c r="X102" s="82" t="s">
        <v>44</v>
      </c>
    </row>
    <row r="103" spans="3:24" s="257" customFormat="1" ht="12.75" customHeight="1">
      <c r="C103" s="13" t="str">
        <f>$D$166</f>
        <v>Cooling demand</v>
      </c>
      <c r="D103" s="14">
        <f>+INDEX($E166:$Q166,1,D$100) * INDEX($V$103:$V$119,D$100,1)</f>
        <v>0</v>
      </c>
      <c r="E103" s="14">
        <f>+INDEX($E166:$Q166,1,E$100) * INDEX($V$103:$V$119,E$100,1)</f>
        <v>0</v>
      </c>
      <c r="F103" s="14">
        <f>+INDEX($E166:$Q166,1,F$100) * INDEX($V$103:$V$119,F$100,1)</f>
        <v>0</v>
      </c>
      <c r="G103" s="14">
        <f>+INDEX($E166:$Q166,1,G$100) * INDEX($V$103:$V$119,G$100,1)</f>
        <v>0</v>
      </c>
      <c r="H103" s="14">
        <f>+INDEX($E166:$Q166,1,H$100) * INDEX($V$103:$V$119,H$100,1)</f>
        <v>0</v>
      </c>
      <c r="I103" s="14">
        <f>+INDEX($E166:$Q166,1,I$100) * INDEX($V$103:$V$119,I$100,1)</f>
        <v>0</v>
      </c>
      <c r="J103" s="14">
        <f>+INDEX($E166:$Q166,1,J$100) * INDEX($V$103:$V$119,J$100,1)</f>
        <v>0</v>
      </c>
      <c r="K103" s="14">
        <f>+INDEX($E166:$Q166,1,K$100) * INDEX($V$103:$V$119,K$100,1)</f>
        <v>0</v>
      </c>
      <c r="L103" s="14">
        <f>+INDEX($E166:$Q166,1,L$100) * INDEX($V$103:$V$119,L$100,1)</f>
        <v>0</v>
      </c>
      <c r="M103" s="14">
        <f>+INDEX($E166:$Q166,1,M$100) * INDEX($V$103:$V$119,M$100,1)</f>
        <v>0</v>
      </c>
      <c r="N103" s="14">
        <f>+INDEX($E166:$Q166,1,N$100) * INDEX($V$103:$V$119,N$100,1)</f>
        <v>0</v>
      </c>
      <c r="O103" s="14">
        <f>+INDEX($E166:$Q166,1,O$100) * INDEX($V$103:$V$119,O$100,1)</f>
        <v>1994.0400000000002</v>
      </c>
      <c r="P103" s="14">
        <f>+INDEX($E166:$Q166,1,P$100) * INDEX($V$103:$V$119,P$100,1)</f>
        <v>0</v>
      </c>
      <c r="Q103"/>
      <c r="R103"/>
      <c r="S103"/>
      <c r="T103" s="106" t="str">
        <f>'Energy matrix'!B26</f>
        <v>Coal</v>
      </c>
      <c r="U103" s="106"/>
      <c r="V103" s="107">
        <f>+INDEX('Energy matrix'!C26:N26,1,$D$2)</f>
        <v>0</v>
      </c>
      <c r="W103" s="106"/>
      <c r="X103" s="82">
        <f>V103/1000</f>
        <v>0</v>
      </c>
    </row>
    <row r="104" spans="3:24" s="257" customFormat="1" ht="12.75" customHeight="1">
      <c r="C104" s="13" t="str">
        <f>$D$167</f>
        <v>Haullage</v>
      </c>
      <c r="D104" s="14">
        <f>+INDEX($E167:$Q167,1,D$100) * INDEX($V$103:$V$119,D$100,1)</f>
        <v>0</v>
      </c>
      <c r="E104" s="14">
        <f>+INDEX($E167:$Q167,1,E$100) * INDEX($V$103:$V$119,E$100,1)</f>
        <v>0</v>
      </c>
      <c r="F104" s="14">
        <f>+INDEX($E167:$Q167,1,F$100) * INDEX($V$103:$V$119,F$100,1)</f>
        <v>0</v>
      </c>
      <c r="G104" s="14">
        <f>+INDEX($E167:$Q167,1,G$100) * INDEX($V$103:$V$119,G$100,1)</f>
        <v>0</v>
      </c>
      <c r="H104" s="14">
        <f>+INDEX($E167:$Q167,1,H$100) * INDEX($V$103:$V$119,H$100,1)</f>
        <v>0</v>
      </c>
      <c r="I104" s="14">
        <f>+INDEX($E167:$Q167,1,I$100) * INDEX($V$103:$V$119,I$100,1)</f>
        <v>0</v>
      </c>
      <c r="J104" s="14">
        <f>+INDEX($E167:$Q167,1,J$100) * INDEX($V$103:$V$119,J$100,1)</f>
        <v>0</v>
      </c>
      <c r="K104" s="14">
        <f>+INDEX($E167:$Q167,1,K$100) * INDEX($V$103:$V$119,K$100,1)</f>
        <v>0</v>
      </c>
      <c r="L104" s="14">
        <f>+INDEX($E167:$Q167,1,L$100) * INDEX($V$103:$V$119,L$100,1)</f>
        <v>354.80099999999999</v>
      </c>
      <c r="M104" s="14">
        <f>+INDEX($E167:$Q167,1,M$100) * INDEX($V$103:$V$119,M$100,1)</f>
        <v>0</v>
      </c>
      <c r="N104" s="14">
        <f>+INDEX($E167:$Q167,1,N$100) * INDEX($V$103:$V$119,N$100,1)</f>
        <v>0</v>
      </c>
      <c r="O104" s="14">
        <f>+INDEX($E167:$Q167,1,O$100) * INDEX($V$103:$V$119,O$100,1)</f>
        <v>0</v>
      </c>
      <c r="P104" s="14">
        <f>+INDEX($E167:$Q167,1,P$100) * INDEX($V$103:$V$119,P$100,1)</f>
        <v>0</v>
      </c>
      <c r="Q104"/>
      <c r="R104"/>
      <c r="S104"/>
      <c r="T104" s="106" t="str">
        <f>'Energy matrix'!B27</f>
        <v>Fuel Oil</v>
      </c>
      <c r="U104" s="106"/>
      <c r="V104" s="107">
        <f>+INDEX('Energy matrix'!C27:N27,1,$D$2)</f>
        <v>0</v>
      </c>
      <c r="W104" s="106"/>
      <c r="X104" s="82">
        <f t="shared" ref="X104:X116" si="132">V104/1000</f>
        <v>0</v>
      </c>
    </row>
    <row r="105" spans="3:24" s="257" customFormat="1" ht="12.75" customHeight="1">
      <c r="C105" s="13" t="str">
        <f>$D$168</f>
        <v>Light and electronics</v>
      </c>
      <c r="D105" s="14">
        <f>+INDEX($E168:$Q168,1,D$100) * INDEX($V$103:$V$119,D$100,1)</f>
        <v>0</v>
      </c>
      <c r="E105" s="14">
        <f>+INDEX($E168:$Q168,1,E$100) * INDEX($V$103:$V$119,E$100,1)</f>
        <v>0</v>
      </c>
      <c r="F105" s="14">
        <f>+INDEX($E168:$Q168,1,F$100) * INDEX($V$103:$V$119,F$100,1)</f>
        <v>0</v>
      </c>
      <c r="G105" s="14">
        <f>+INDEX($E168:$Q168,1,G$100) * INDEX($V$103:$V$119,G$100,1)</f>
        <v>0</v>
      </c>
      <c r="H105" s="14">
        <f>+INDEX($E168:$Q168,1,H$100) * INDEX($V$103:$V$119,H$100,1)</f>
        <v>0</v>
      </c>
      <c r="I105" s="14">
        <f>+INDEX($E168:$Q168,1,I$100) * INDEX($V$103:$V$119,I$100,1)</f>
        <v>0</v>
      </c>
      <c r="J105" s="14">
        <f>+INDEX($E168:$Q168,1,J$100) * INDEX($V$103:$V$119,J$100,1)</f>
        <v>0</v>
      </c>
      <c r="K105" s="14">
        <f>+INDEX($E168:$Q168,1,K$100) * INDEX($V$103:$V$119,K$100,1)</f>
        <v>0</v>
      </c>
      <c r="L105" s="14">
        <f>+INDEX($E168:$Q168,1,L$100) * INDEX($V$103:$V$119,L$100,1)</f>
        <v>0</v>
      </c>
      <c r="M105" s="14">
        <f>+INDEX($E168:$Q168,1,M$100) * INDEX($V$103:$V$119,M$100,1)</f>
        <v>0</v>
      </c>
      <c r="N105" s="14">
        <f>+INDEX($E168:$Q168,1,N$100) * INDEX($V$103:$V$119,N$100,1)</f>
        <v>0</v>
      </c>
      <c r="O105" s="14">
        <f>+INDEX($E168:$Q168,1,O$100) * INDEX($V$103:$V$119,O$100,1)</f>
        <v>4356.1298435472663</v>
      </c>
      <c r="P105" s="14">
        <f>+INDEX($E168:$Q168,1,P$100) * INDEX($V$103:$V$119,P$100,1)</f>
        <v>0</v>
      </c>
      <c r="Q105"/>
      <c r="R105"/>
      <c r="S105"/>
      <c r="T105" s="106" t="str">
        <f>'Energy matrix'!B28</f>
        <v>Diesel</v>
      </c>
      <c r="U105" s="106"/>
      <c r="V105" s="107">
        <f>+INDEX('Energy matrix'!C28:N28,1,$D$2)</f>
        <v>0</v>
      </c>
      <c r="W105" s="106"/>
      <c r="X105" s="82">
        <f t="shared" si="132"/>
        <v>0</v>
      </c>
    </row>
    <row r="106" spans="3:24" s="257" customFormat="1" ht="12.75" customHeight="1">
      <c r="C106" s="13" t="str">
        <f>$D$169</f>
        <v>Electric motors</v>
      </c>
      <c r="D106" s="14">
        <f>+INDEX($E169:$Q169,1,D$100) * INDEX($V$103:$V$119,D$100,1)</f>
        <v>0</v>
      </c>
      <c r="E106" s="14">
        <f>+INDEX($E169:$Q169,1,E$100) * INDEX($V$103:$V$119,E$100,1)</f>
        <v>0</v>
      </c>
      <c r="F106" s="14">
        <f>+INDEX($E169:$Q169,1,F$100) * INDEX($V$103:$V$119,F$100,1)</f>
        <v>0</v>
      </c>
      <c r="G106" s="14">
        <f>+INDEX($E169:$Q169,1,G$100) * INDEX($V$103:$V$119,G$100,1)</f>
        <v>0</v>
      </c>
      <c r="H106" s="14">
        <f>+INDEX($E169:$Q169,1,H$100) * INDEX($V$103:$V$119,H$100,1)</f>
        <v>0</v>
      </c>
      <c r="I106" s="14">
        <f>+INDEX($E169:$Q169,1,I$100) * INDEX($V$103:$V$119,I$100,1)</f>
        <v>0</v>
      </c>
      <c r="J106" s="14">
        <f>+INDEX($E169:$Q169,1,J$100) * INDEX($V$103:$V$119,J$100,1)</f>
        <v>0</v>
      </c>
      <c r="K106" s="14">
        <f>+INDEX($E169:$Q169,1,K$100) * INDEX($V$103:$V$119,K$100,1)</f>
        <v>0</v>
      </c>
      <c r="L106" s="14">
        <f>+INDEX($E169:$Q169,1,L$100) * INDEX($V$103:$V$119,L$100,1)</f>
        <v>0</v>
      </c>
      <c r="M106" s="14">
        <f>+INDEX($E169:$Q169,1,M$100) * INDEX($V$103:$V$119,M$100,1)</f>
        <v>0</v>
      </c>
      <c r="N106" s="14">
        <f>+INDEX($E169:$Q169,1,N$100) * INDEX($V$103:$V$119,N$100,1)</f>
        <v>0</v>
      </c>
      <c r="O106" s="14">
        <f>+INDEX($E169:$Q169,1,O$100) * INDEX($V$103:$V$119,O$100,1)</f>
        <v>13038.678894388468</v>
      </c>
      <c r="P106" s="14">
        <f>+INDEX($E169:$Q169,1,P$100) * INDEX($V$103:$V$119,P$100,1)</f>
        <v>0</v>
      </c>
      <c r="Q106"/>
      <c r="R106"/>
      <c r="S106"/>
      <c r="T106" s="106" t="str">
        <f>'Energy matrix'!B29</f>
        <v>Gasoline</v>
      </c>
      <c r="U106" s="106"/>
      <c r="V106" s="107">
        <f>+INDEX('Energy matrix'!C29:N29,1,$D$2)</f>
        <v>0</v>
      </c>
      <c r="W106" s="106"/>
      <c r="X106" s="82">
        <f t="shared" si="132"/>
        <v>0</v>
      </c>
    </row>
    <row r="107" spans="3:24" s="257" customFormat="1" ht="12.75" customHeight="1">
      <c r="C107" s="13" t="str">
        <f>$D$170</f>
        <v>Spatial heating</v>
      </c>
      <c r="D107" s="14">
        <f>+INDEX($E170:$Q170,1,D$100) * INDEX($V$103:$V$119,D$100,1)</f>
        <v>0</v>
      </c>
      <c r="E107" s="14">
        <f>+INDEX($E170:$Q170,1,E$100) * INDEX($V$103:$V$119,E$100,1)</f>
        <v>0</v>
      </c>
      <c r="F107" s="14">
        <f>+INDEX($E170:$Q170,1,F$100) * INDEX($V$103:$V$119,F$100,1)</f>
        <v>0</v>
      </c>
      <c r="G107" s="14">
        <f>+INDEX($E170:$Q170,1,G$100) * INDEX($V$103:$V$119,G$100,1)</f>
        <v>0</v>
      </c>
      <c r="H107" s="14">
        <f>+INDEX($E170:$Q170,1,H$100) * INDEX($V$103:$V$119,H$100,1)</f>
        <v>0</v>
      </c>
      <c r="I107" s="14">
        <f>+INDEX($E170:$Q170,1,I$100) * INDEX($V$103:$V$119,I$100,1)</f>
        <v>0</v>
      </c>
      <c r="J107" s="14">
        <f>+INDEX($E170:$Q170,1,J$100) * INDEX($V$103:$V$119,J$100,1)</f>
        <v>0</v>
      </c>
      <c r="K107" s="14">
        <f>+INDEX($E170:$Q170,1,K$100) * INDEX($V$103:$V$119,K$100,1)</f>
        <v>0</v>
      </c>
      <c r="L107" s="14">
        <f>+INDEX($E170:$Q170,1,L$100) * INDEX($V$103:$V$119,L$100,1)</f>
        <v>0</v>
      </c>
      <c r="M107" s="14">
        <f>+INDEX($E170:$Q170,1,M$100) * INDEX($V$103:$V$119,M$100,1)</f>
        <v>0</v>
      </c>
      <c r="N107" s="14">
        <f>+INDEX($E170:$Q170,1,N$100) * INDEX($V$103:$V$119,N$100,1)</f>
        <v>0</v>
      </c>
      <c r="O107" s="14">
        <f>+INDEX($E170:$Q170,1,O$100) * INDEX($V$103:$V$119,O$100,1)</f>
        <v>622.45347695800638</v>
      </c>
      <c r="P107" s="14">
        <f>+INDEX($E170:$Q170,1,P$100) * INDEX($V$103:$V$119,P$100,1)</f>
        <v>0</v>
      </c>
      <c r="Q107"/>
      <c r="R107"/>
      <c r="S107"/>
      <c r="T107" s="106" t="str">
        <f>'Energy matrix'!B30</f>
        <v>LPG</v>
      </c>
      <c r="U107" s="106"/>
      <c r="V107" s="107">
        <f>+INDEX('Energy matrix'!C30:N30,1,$D$2)</f>
        <v>0</v>
      </c>
      <c r="W107" s="106"/>
      <c r="X107" s="82">
        <f t="shared" si="132"/>
        <v>0</v>
      </c>
    </row>
    <row r="108" spans="3:24" s="257" customFormat="1" ht="12.75" customHeight="1">
      <c r="C108" s="17" t="s">
        <v>57</v>
      </c>
      <c r="D108" s="18">
        <f t="shared" ref="D108:N108" si="133">SUM(D102:D107)</f>
        <v>0</v>
      </c>
      <c r="E108" s="18">
        <f t="shared" si="133"/>
        <v>0</v>
      </c>
      <c r="F108" s="18">
        <f t="shared" si="133"/>
        <v>0</v>
      </c>
      <c r="G108" s="18">
        <f t="shared" si="133"/>
        <v>0</v>
      </c>
      <c r="H108" s="18">
        <f t="shared" si="133"/>
        <v>0</v>
      </c>
      <c r="I108" s="18">
        <f t="shared" si="133"/>
        <v>0</v>
      </c>
      <c r="J108" s="18">
        <f t="shared" si="133"/>
        <v>13296.6</v>
      </c>
      <c r="K108" s="18">
        <f t="shared" si="133"/>
        <v>22744</v>
      </c>
      <c r="L108" s="18">
        <f t="shared" si="133"/>
        <v>354.80099999999999</v>
      </c>
      <c r="M108" s="18">
        <f t="shared" si="133"/>
        <v>4379</v>
      </c>
      <c r="N108" s="18">
        <f t="shared" si="133"/>
        <v>0</v>
      </c>
      <c r="O108" s="18">
        <f t="shared" ref="O108:S108" si="134">SUM(O102:O107)</f>
        <v>20011.302214893738</v>
      </c>
      <c r="P108" s="18">
        <f t="shared" si="134"/>
        <v>0</v>
      </c>
      <c r="Q108"/>
      <c r="R108"/>
      <c r="S108"/>
      <c r="T108" s="106" t="str">
        <f>'Energy matrix'!B31</f>
        <v>Manufactured gases</v>
      </c>
      <c r="U108" s="106"/>
      <c r="V108" s="107">
        <f>+INDEX('Energy matrix'!C31:N31,1,$D$2)</f>
        <v>0</v>
      </c>
      <c r="W108" s="106"/>
      <c r="X108" s="82">
        <f t="shared" si="132"/>
        <v>0</v>
      </c>
    </row>
    <row r="109" spans="3:24" s="257" customFormat="1" ht="12.75" customHeight="1">
      <c r="O109" s="79"/>
      <c r="R109" s="258"/>
      <c r="S109" s="258"/>
      <c r="T109" s="106" t="str">
        <f>'Energy matrix'!B32</f>
        <v>Natural gas</v>
      </c>
      <c r="U109" s="106"/>
      <c r="V109" s="107">
        <f>+INDEX('Energy matrix'!C32:N32,1,$D$2)</f>
        <v>13296.6</v>
      </c>
      <c r="W109" s="106"/>
      <c r="X109" s="82">
        <f t="shared" si="132"/>
        <v>13.2966</v>
      </c>
    </row>
    <row r="110" spans="3:24" s="257" customFormat="1" ht="12.75" customHeight="1">
      <c r="O110" s="79"/>
      <c r="R110" s="258"/>
      <c r="S110" s="258"/>
      <c r="T110" s="106" t="str">
        <f>'Energy matrix'!B33</f>
        <v>Biogas</v>
      </c>
      <c r="U110" s="106"/>
      <c r="V110" s="107">
        <f>+INDEX('Energy matrix'!C33:N33,1,$D$2)</f>
        <v>22744</v>
      </c>
      <c r="W110" s="106"/>
      <c r="X110" s="82">
        <f t="shared" si="132"/>
        <v>22.744</v>
      </c>
    </row>
    <row r="111" spans="3:24" s="257" customFormat="1" ht="12.75" customHeight="1">
      <c r="E111" s="57"/>
      <c r="F111" s="57"/>
      <c r="G111" s="259"/>
      <c r="H111" s="259"/>
      <c r="I111" s="259"/>
      <c r="J111" s="259"/>
      <c r="K111" s="259"/>
      <c r="O111" s="79"/>
      <c r="R111" s="258"/>
      <c r="S111" s="258"/>
      <c r="T111" s="106" t="str">
        <f>'Energy matrix'!B34</f>
        <v>Biodiesel</v>
      </c>
      <c r="U111" s="106"/>
      <c r="V111" s="107">
        <f>+INDEX('Energy matrix'!C34:N34,1,$D$2)</f>
        <v>354.80099999999999</v>
      </c>
      <c r="W111" s="106"/>
      <c r="X111" s="82">
        <f t="shared" si="132"/>
        <v>0.35480099999999998</v>
      </c>
    </row>
    <row r="112" spans="3:24" s="257" customFormat="1" ht="12.75" customHeight="1">
      <c r="E112" s="57"/>
      <c r="F112" s="57"/>
      <c r="G112" s="259"/>
      <c r="H112" s="259"/>
      <c r="I112" s="259"/>
      <c r="J112" s="259"/>
      <c r="K112" s="259"/>
      <c r="O112" s="79"/>
      <c r="R112" s="258"/>
      <c r="S112" s="258"/>
      <c r="T112" s="106" t="str">
        <f>'Energy matrix'!B35</f>
        <v>Biomass</v>
      </c>
      <c r="U112" s="106"/>
      <c r="V112" s="107">
        <f>+INDEX('Energy matrix'!C35:N35,1,$D$2)</f>
        <v>4379</v>
      </c>
      <c r="W112" s="106"/>
      <c r="X112" s="82">
        <f t="shared" si="132"/>
        <v>4.3789999999999996</v>
      </c>
    </row>
    <row r="113" spans="3:24" s="257" customFormat="1" ht="12.75" customHeight="1">
      <c r="E113" s="57"/>
      <c r="F113" s="57"/>
      <c r="G113" s="259"/>
      <c r="H113" s="259"/>
      <c r="I113" s="259"/>
      <c r="J113" s="259"/>
      <c r="K113" s="259"/>
      <c r="O113" s="79"/>
      <c r="R113" s="258"/>
      <c r="S113" s="258"/>
      <c r="T113" s="106" t="str">
        <f>'Energy matrix'!B36</f>
        <v>Waste</v>
      </c>
      <c r="U113" s="110"/>
      <c r="V113" s="107">
        <f>+INDEX('Energy matrix'!C36:N36,1,$D$2)</f>
        <v>0</v>
      </c>
      <c r="W113" s="110"/>
      <c r="X113" s="82">
        <f t="shared" si="132"/>
        <v>0</v>
      </c>
    </row>
    <row r="114" spans="3:24" s="257" customFormat="1" ht="12.75" customHeight="1">
      <c r="E114" s="57"/>
      <c r="F114" s="57"/>
      <c r="G114" s="259"/>
      <c r="H114" s="259"/>
      <c r="I114" s="259"/>
      <c r="J114" s="259"/>
      <c r="K114" s="259"/>
      <c r="O114" s="79"/>
      <c r="R114" s="258"/>
      <c r="S114" s="258"/>
      <c r="T114" s="106" t="str">
        <f>'Energy matrix'!B37</f>
        <v>Electricity</v>
      </c>
      <c r="U114" s="609"/>
      <c r="V114" s="107">
        <f>+INDEX('Energy matrix'!C37:N37,1,$D$2)</f>
        <v>19940.400000000001</v>
      </c>
      <c r="W114" s="609"/>
      <c r="X114" s="82">
        <f t="shared" si="132"/>
        <v>19.9404</v>
      </c>
    </row>
    <row r="115" spans="3:24" ht="12.75" customHeight="1">
      <c r="E115" s="24"/>
      <c r="F115" s="24"/>
      <c r="G115" s="24"/>
      <c r="H115" s="24"/>
      <c r="I115" s="24"/>
      <c r="J115" s="24"/>
      <c r="K115" s="24"/>
      <c r="O115" s="79"/>
      <c r="T115" s="106" t="str">
        <f>'Energy matrix'!B38</f>
        <v>District Heating</v>
      </c>
      <c r="U115" s="106"/>
      <c r="V115" s="107">
        <f>+INDEX('Energy matrix'!C38:N38,1,$D$2)</f>
        <v>0</v>
      </c>
      <c r="W115" s="106"/>
      <c r="X115" s="82">
        <f t="shared" si="132"/>
        <v>0</v>
      </c>
    </row>
    <row r="116" spans="3:24" s="257" customFormat="1" ht="12.75" customHeight="1">
      <c r="O116" s="79"/>
      <c r="R116" s="258"/>
      <c r="S116" s="258"/>
      <c r="T116" s="106" t="s">
        <v>57</v>
      </c>
      <c r="U116" s="106"/>
      <c r="V116" s="107">
        <f>SUM(V103:V115)</f>
        <v>60714.800999999999</v>
      </c>
      <c r="W116" s="106"/>
      <c r="X116" s="82">
        <f t="shared" si="132"/>
        <v>60.714801000000001</v>
      </c>
    </row>
    <row r="117" spans="3:24" s="257" customFormat="1" ht="12.75" customHeight="1">
      <c r="O117" s="79"/>
      <c r="R117" s="258"/>
      <c r="S117" s="258"/>
      <c r="T117" s="106"/>
      <c r="U117" s="106"/>
      <c r="V117" s="107"/>
      <c r="W117" s="106"/>
      <c r="X117" s="82"/>
    </row>
    <row r="118" spans="3:24" s="257" customFormat="1" ht="12.75" customHeight="1">
      <c r="O118" s="79"/>
      <c r="R118" s="258"/>
      <c r="S118" s="258"/>
      <c r="T118" s="106"/>
      <c r="U118" s="106"/>
      <c r="V118" s="107"/>
      <c r="W118" s="106"/>
      <c r="X118" s="82"/>
    </row>
    <row r="119" spans="3:24" s="257" customFormat="1" ht="12.75" customHeight="1">
      <c r="O119" s="79"/>
      <c r="R119" s="258"/>
      <c r="S119" s="258"/>
      <c r="T119" s="106"/>
      <c r="U119" s="106"/>
      <c r="V119" s="107"/>
      <c r="W119" s="106"/>
      <c r="X119" s="82"/>
    </row>
    <row r="120" spans="3:24" s="257" customFormat="1" ht="12.75" customHeight="1">
      <c r="O120" s="79"/>
      <c r="R120" s="258"/>
      <c r="S120" s="258"/>
      <c r="T120" s="106"/>
      <c r="U120" s="106"/>
      <c r="V120" s="107"/>
      <c r="W120" s="106"/>
      <c r="X120" s="82"/>
    </row>
    <row r="121" spans="3:24" ht="12.75" customHeight="1">
      <c r="C121" s="231" t="s">
        <v>384</v>
      </c>
      <c r="O121" s="79"/>
      <c r="T121" s="258"/>
      <c r="U121" s="258"/>
      <c r="V121" s="258"/>
      <c r="W121" s="258"/>
      <c r="X121" s="257"/>
    </row>
    <row r="122" spans="3:24" ht="12.75" customHeight="1">
      <c r="C122" s="114" t="s">
        <v>142</v>
      </c>
      <c r="E122" s="24"/>
      <c r="F122" s="24"/>
      <c r="G122" s="24"/>
      <c r="H122" s="24"/>
      <c r="I122" s="24"/>
      <c r="J122" s="24"/>
      <c r="K122" s="24"/>
      <c r="T122" s="258"/>
      <c r="U122" s="258"/>
      <c r="V122" s="258"/>
      <c r="W122" s="258"/>
      <c r="X122" s="257"/>
    </row>
    <row r="123" spans="3:24" ht="12.75" customHeight="1">
      <c r="D123" s="80" t="s">
        <v>144</v>
      </c>
      <c r="E123" s="81" t="str">
        <f t="array" ref="E123">+IF(AND(UPPER(TRANSPOSE(T128:T138))=UPPER(MID(D126:N126,4,99))),"Ok","ERROR")</f>
        <v>Ok</v>
      </c>
      <c r="F123" s="24"/>
      <c r="G123" s="24"/>
      <c r="H123" s="24"/>
      <c r="I123" s="24"/>
      <c r="J123" s="24"/>
      <c r="K123" s="24"/>
      <c r="T123" s="258"/>
      <c r="U123" s="258"/>
      <c r="V123" s="258"/>
      <c r="W123" s="258"/>
      <c r="X123" s="257"/>
    </row>
    <row r="124" spans="3:24" ht="12.75" customHeight="1">
      <c r="C124" s="24" t="s">
        <v>182</v>
      </c>
      <c r="O124" s="79"/>
      <c r="T124" s="114" t="s">
        <v>386</v>
      </c>
      <c r="U124" s="114"/>
      <c r="W124" s="114"/>
    </row>
    <row r="125" spans="3:24" ht="12.75" customHeight="1">
      <c r="D125" s="82">
        <v>1</v>
      </c>
      <c r="E125" s="82">
        <f>+D125+1</f>
        <v>2</v>
      </c>
      <c r="F125" s="82">
        <f t="shared" ref="F125" si="135">+E125+1</f>
        <v>3</v>
      </c>
      <c r="G125" s="82">
        <f t="shared" ref="G125" si="136">+F125+1</f>
        <v>4</v>
      </c>
      <c r="H125" s="82">
        <f t="shared" ref="H125" si="137">+G125+1</f>
        <v>5</v>
      </c>
      <c r="I125" s="82">
        <f t="shared" ref="I125" si="138">+H125+1</f>
        <v>6</v>
      </c>
      <c r="J125" s="82">
        <f t="shared" ref="J125" si="139">+I125+1</f>
        <v>7</v>
      </c>
      <c r="K125" s="82">
        <f t="shared" ref="K125" si="140">+J125+1</f>
        <v>8</v>
      </c>
      <c r="L125" s="82">
        <f t="shared" ref="L125" si="141">+K125+1</f>
        <v>9</v>
      </c>
      <c r="M125" s="82">
        <f t="shared" ref="M125" si="142">+L125+1</f>
        <v>10</v>
      </c>
      <c r="N125" s="82">
        <f t="shared" ref="N125" si="143">+M125+1</f>
        <v>11</v>
      </c>
      <c r="O125" s="82">
        <f t="shared" ref="O125" si="144">+N125+1</f>
        <v>12</v>
      </c>
      <c r="P125" s="82">
        <f t="shared" ref="P125" si="145">+O125+1</f>
        <v>13</v>
      </c>
      <c r="Q125"/>
      <c r="R125"/>
      <c r="S125"/>
      <c r="T125" s="40"/>
      <c r="U125" s="40"/>
      <c r="W125" s="40"/>
    </row>
    <row r="126" spans="3:24" ht="12.75" customHeight="1">
      <c r="C126" s="10" t="str">
        <f t="shared" ref="C126:N126" si="146">+C76</f>
        <v>Agg End-use</v>
      </c>
      <c r="D126" s="10" t="str">
        <f t="shared" si="146"/>
        <v>01 Coal</v>
      </c>
      <c r="E126" s="10" t="str">
        <f t="shared" si="146"/>
        <v>02 Fuel oil</v>
      </c>
      <c r="F126" s="10" t="str">
        <f t="shared" si="146"/>
        <v>03 Diesel</v>
      </c>
      <c r="G126" s="10" t="str">
        <f t="shared" si="146"/>
        <v>04 Gasoline</v>
      </c>
      <c r="H126" s="10" t="str">
        <f t="shared" si="146"/>
        <v>05 LPG</v>
      </c>
      <c r="I126" s="10" t="str">
        <f t="shared" si="146"/>
        <v>06 Manufactured gases</v>
      </c>
      <c r="J126" s="10" t="str">
        <f t="shared" si="146"/>
        <v>07 Natural gas</v>
      </c>
      <c r="K126" s="10" t="str">
        <f t="shared" si="146"/>
        <v>08 Biogas</v>
      </c>
      <c r="L126" s="10" t="str">
        <f t="shared" si="146"/>
        <v>09 Biodiesel</v>
      </c>
      <c r="M126" s="10" t="str">
        <f t="shared" si="146"/>
        <v>10 Biomass</v>
      </c>
      <c r="N126" s="10" t="str">
        <f t="shared" si="146"/>
        <v>11 Waste</v>
      </c>
      <c r="O126" s="10" t="str">
        <f t="shared" ref="O126:S126" si="147">+O76</f>
        <v>12 Electricity</v>
      </c>
      <c r="P126" s="10" t="str">
        <f t="shared" si="147"/>
        <v>13 District Heating</v>
      </c>
      <c r="Q126"/>
      <c r="R126"/>
      <c r="S126"/>
      <c r="T126" s="111" t="s">
        <v>143</v>
      </c>
      <c r="V126" s="112">
        <f>+'Energy matrix'!B45</f>
        <v>2019</v>
      </c>
    </row>
    <row r="127" spans="3:24" ht="12.75" customHeight="1">
      <c r="C127" s="13" t="str">
        <f>$D$165</f>
        <v>Process heat temperature</v>
      </c>
      <c r="D127" s="14">
        <f>+INDEX($E165:$Q165,1,D$125) * INDEX($V$128:$V$143,D$125,1)</f>
        <v>0</v>
      </c>
      <c r="E127" s="14">
        <f>+INDEX($E165:$Q165,1,E$125) * INDEX($V$128:$V$143,E$125,1)</f>
        <v>0</v>
      </c>
      <c r="F127" s="14">
        <f>+INDEX($E165:$Q165,1,F$125) * INDEX($V$128:$V$143,F$125,1)</f>
        <v>0</v>
      </c>
      <c r="G127" s="14">
        <f>+INDEX($E165:$Q165,1,G$125) * INDEX($V$128:$V$143,G$125,1)</f>
        <v>0</v>
      </c>
      <c r="H127" s="14">
        <f>+INDEX($E165:$Q165,1,H$125) * INDEX($V$128:$V$143,H$125,1)</f>
        <v>2207.5425</v>
      </c>
      <c r="I127" s="14">
        <f>+INDEX($E165:$Q165,1,I$125) * INDEX($V$128:$V$143,I$125,1)</f>
        <v>0</v>
      </c>
      <c r="J127" s="14">
        <f>+INDEX($E165:$Q165,1,J$125) * INDEX($V$128:$V$143,J$125,1)</f>
        <v>10788.3</v>
      </c>
      <c r="K127" s="14">
        <f>+INDEX($E165:$Q165,1,K$125) * INDEX($V$128:$V$143,K$125,1)</f>
        <v>23474</v>
      </c>
      <c r="L127" s="14">
        <f>+INDEX($E165:$Q165,1,L$125) * INDEX($V$128:$V$143,L$125,1)</f>
        <v>0</v>
      </c>
      <c r="M127" s="14">
        <f>+INDEX($E165:$Q165,1,M$125) * INDEX($V$128:$V$143,M$125,1)</f>
        <v>4242</v>
      </c>
      <c r="N127" s="14">
        <f>+INDEX($E165:$Q165,1,N$125) * INDEX($V$128:$V$143,N$125,1)</f>
        <v>0</v>
      </c>
      <c r="O127" s="14">
        <f>+INDEX($E165:$Q165,1,O$125) * INDEX($V$128:$V$143,O$125,1)</f>
        <v>0</v>
      </c>
      <c r="P127" s="14">
        <f>+INDEX($E165:$Q165,1,P$125) * INDEX($V$128:$V$143,P$125,1)</f>
        <v>0</v>
      </c>
      <c r="Q127"/>
      <c r="R127"/>
      <c r="S127"/>
      <c r="T127" s="42" t="s">
        <v>379</v>
      </c>
      <c r="U127" s="42"/>
      <c r="V127" s="113" t="str">
        <f>+INDEX('Energy matrix'!C46:N46,1,$D$2)</f>
        <v xml:space="preserve">Agriculture, forestry and fishing </v>
      </c>
      <c r="W127" s="42"/>
      <c r="X127" s="82" t="s">
        <v>44</v>
      </c>
    </row>
    <row r="128" spans="3:24" ht="12.75" customHeight="1">
      <c r="C128" s="13" t="str">
        <f>$D$166</f>
        <v>Cooling demand</v>
      </c>
      <c r="D128" s="14">
        <f>+INDEX($E166:$Q166,1,D$125) * INDEX($V$128:$V$143,D$125,1)</f>
        <v>0</v>
      </c>
      <c r="E128" s="14">
        <f>+INDEX($E166:$Q166,1,E$125) * INDEX($V$128:$V$143,E$125,1)</f>
        <v>0</v>
      </c>
      <c r="F128" s="14">
        <f>+INDEX($E166:$Q166,1,F$125) * INDEX($V$128:$V$143,F$125,1)</f>
        <v>0</v>
      </c>
      <c r="G128" s="14">
        <f>+INDEX($E166:$Q166,1,G$125) * INDEX($V$128:$V$143,G$125,1)</f>
        <v>0</v>
      </c>
      <c r="H128" s="14">
        <f>+INDEX($E166:$Q166,1,H$125) * INDEX($V$128:$V$143,H$125,1)</f>
        <v>0</v>
      </c>
      <c r="I128" s="14">
        <f>+INDEX($E166:$Q166,1,I$125) * INDEX($V$128:$V$143,I$125,1)</f>
        <v>0</v>
      </c>
      <c r="J128" s="14">
        <f>+INDEX($E166:$Q166,1,J$125) * INDEX($V$128:$V$143,J$125,1)</f>
        <v>0</v>
      </c>
      <c r="K128" s="14">
        <f>+INDEX($E166:$Q166,1,K$125) * INDEX($V$128:$V$143,K$125,1)</f>
        <v>0</v>
      </c>
      <c r="L128" s="14">
        <f>+INDEX($E166:$Q166,1,L$125) * INDEX($V$128:$V$143,L$125,1)</f>
        <v>0</v>
      </c>
      <c r="M128" s="14">
        <f>+INDEX($E166:$Q166,1,M$125) * INDEX($V$128:$V$143,M$125,1)</f>
        <v>0</v>
      </c>
      <c r="N128" s="14">
        <f>+INDEX($E166:$Q166,1,N$125) * INDEX($V$128:$V$143,N$125,1)</f>
        <v>0</v>
      </c>
      <c r="O128" s="14">
        <f>+INDEX($E166:$Q166,1,O$125) * INDEX($V$128:$V$143,O$125,1)</f>
        <v>1821.2400000000002</v>
      </c>
      <c r="P128" s="14">
        <f>+INDEX($E166:$Q166,1,P$125) * INDEX($V$128:$V$143,P$125,1)</f>
        <v>0</v>
      </c>
      <c r="Q128"/>
      <c r="R128"/>
      <c r="S128"/>
      <c r="T128" s="106" t="str">
        <f>'Energy matrix'!B47</f>
        <v>Coal</v>
      </c>
      <c r="U128" s="106"/>
      <c r="V128" s="107">
        <f>+INDEX('Energy matrix'!C47:N47,1,$D$2)</f>
        <v>0</v>
      </c>
      <c r="W128" s="106"/>
      <c r="X128" s="82">
        <f>V128/1000</f>
        <v>0</v>
      </c>
    </row>
    <row r="129" spans="3:32" ht="12.75" customHeight="1">
      <c r="C129" s="13" t="str">
        <f>$D$167</f>
        <v>Haullage</v>
      </c>
      <c r="D129" s="14">
        <f>+INDEX($E167:$Q167,1,D$125) * INDEX($V$128:$V$143,D$125,1)</f>
        <v>0</v>
      </c>
      <c r="E129" s="14">
        <f>+INDEX($E167:$Q167,1,E$125) * INDEX($V$128:$V$143,E$125,1)</f>
        <v>0</v>
      </c>
      <c r="F129" s="14">
        <f>+INDEX($E167:$Q167,1,F$125) * INDEX($V$128:$V$143,F$125,1)</f>
        <v>77225.672999999995</v>
      </c>
      <c r="G129" s="14">
        <f>+INDEX($E167:$Q167,1,G$125) * INDEX($V$128:$V$143,G$125,1)</f>
        <v>2367.7359999999999</v>
      </c>
      <c r="H129" s="14">
        <f>+INDEX($E167:$Q167,1,H$125) * INDEX($V$128:$V$143,H$125,1)</f>
        <v>6622.6275000000005</v>
      </c>
      <c r="I129" s="14">
        <f>+INDEX($E167:$Q167,1,I$125) * INDEX($V$128:$V$143,I$125,1)</f>
        <v>0</v>
      </c>
      <c r="J129" s="14">
        <f>+INDEX($E167:$Q167,1,J$125) * INDEX($V$128:$V$143,J$125,1)</f>
        <v>0</v>
      </c>
      <c r="K129" s="14">
        <f>+INDEX($E167:$Q167,1,K$125) * INDEX($V$128:$V$143,K$125,1)</f>
        <v>0</v>
      </c>
      <c r="L129" s="14">
        <f>+INDEX($E167:$Q167,1,L$125) * INDEX($V$128:$V$143,L$125,1)</f>
        <v>4423.1379999999999</v>
      </c>
      <c r="M129" s="14">
        <f>+INDEX($E167:$Q167,1,M$125) * INDEX($V$128:$V$143,M$125,1)</f>
        <v>0</v>
      </c>
      <c r="N129" s="14">
        <f>+INDEX($E167:$Q167,1,N$125) * INDEX($V$128:$V$143,N$125,1)</f>
        <v>0</v>
      </c>
      <c r="O129" s="14">
        <f>+INDEX($E167:$Q167,1,O$125) * INDEX($V$128:$V$143,O$125,1)</f>
        <v>0</v>
      </c>
      <c r="P129" s="14">
        <f>+INDEX($E167:$Q167,1,P$125) * INDEX($V$128:$V$143,P$125,1)</f>
        <v>0</v>
      </c>
      <c r="Q129"/>
      <c r="R129"/>
      <c r="S129"/>
      <c r="T129" s="106" t="str">
        <f>'Energy matrix'!B48</f>
        <v>Fuel Oil</v>
      </c>
      <c r="U129" s="106"/>
      <c r="V129" s="107">
        <f>+INDEX('Energy matrix'!C48:N48,1,$D$2)</f>
        <v>0</v>
      </c>
      <c r="W129" s="106"/>
      <c r="X129" s="82">
        <f t="shared" ref="X129:X141" si="148">V129/1000</f>
        <v>0</v>
      </c>
    </row>
    <row r="130" spans="3:32" ht="12.75" customHeight="1">
      <c r="C130" s="13" t="str">
        <f>$D$168</f>
        <v>Light and electronics</v>
      </c>
      <c r="D130" s="14">
        <f>+INDEX($E168:$Q168,1,D$125) * INDEX($V$128:$V$143,D$125,1)</f>
        <v>0</v>
      </c>
      <c r="E130" s="14">
        <f>+INDEX($E168:$Q168,1,E$125) * INDEX($V$128:$V$143,E$125,1)</f>
        <v>0</v>
      </c>
      <c r="F130" s="14">
        <f>+INDEX($E168:$Q168,1,F$125) * INDEX($V$128:$V$143,F$125,1)</f>
        <v>0</v>
      </c>
      <c r="G130" s="14">
        <f>+INDEX($E168:$Q168,1,G$125) * INDEX($V$128:$V$143,G$125,1)</f>
        <v>0</v>
      </c>
      <c r="H130" s="14">
        <f>+INDEX($E168:$Q168,1,H$125) * INDEX($V$128:$V$143,H$125,1)</f>
        <v>0</v>
      </c>
      <c r="I130" s="14">
        <f>+INDEX($E168:$Q168,1,I$125) * INDEX($V$128:$V$143,I$125,1)</f>
        <v>0</v>
      </c>
      <c r="J130" s="14">
        <f>+INDEX($E168:$Q168,1,J$125) * INDEX($V$128:$V$143,J$125,1)</f>
        <v>0</v>
      </c>
      <c r="K130" s="14">
        <f>+INDEX($E168:$Q168,1,K$125) * INDEX($V$128:$V$143,K$125,1)</f>
        <v>0</v>
      </c>
      <c r="L130" s="14">
        <f>+INDEX($E168:$Q168,1,L$125) * INDEX($V$128:$V$143,L$125,1)</f>
        <v>0</v>
      </c>
      <c r="M130" s="14">
        <f>+INDEX($E168:$Q168,1,M$125) * INDEX($V$128:$V$143,M$125,1)</f>
        <v>0</v>
      </c>
      <c r="N130" s="14">
        <f>+INDEX($E168:$Q168,1,N$125) * INDEX($V$128:$V$143,N$125,1)</f>
        <v>0</v>
      </c>
      <c r="O130" s="14">
        <f>+INDEX($E168:$Q168,1,O$125) * INDEX($V$128:$V$143,O$125,1)</f>
        <v>3978.6352912990828</v>
      </c>
      <c r="P130" s="14">
        <f>+INDEX($E168:$Q168,1,P$125) * INDEX($V$128:$V$143,P$125,1)</f>
        <v>0</v>
      </c>
      <c r="Q130"/>
      <c r="R130"/>
      <c r="S130"/>
      <c r="T130" s="106" t="str">
        <f>'Energy matrix'!B49</f>
        <v>Diesel</v>
      </c>
      <c r="U130" s="106"/>
      <c r="V130" s="107">
        <f>+INDEX('Energy matrix'!C49:N49,1,$D$2)</f>
        <v>77225.672999999995</v>
      </c>
      <c r="W130" s="106"/>
      <c r="X130" s="82">
        <f t="shared" si="148"/>
        <v>77.225673</v>
      </c>
    </row>
    <row r="131" spans="3:32" ht="12.75" customHeight="1">
      <c r="C131" s="13" t="str">
        <f>$D$169</f>
        <v>Electric motors</v>
      </c>
      <c r="D131" s="14">
        <f>+INDEX($E169:$Q169,1,D$125) * INDEX($V$128:$V$143,D$125,1)</f>
        <v>0</v>
      </c>
      <c r="E131" s="14">
        <f>+INDEX($E169:$Q169,1,E$125) * INDEX($V$128:$V$143,E$125,1)</f>
        <v>0</v>
      </c>
      <c r="F131" s="14">
        <f>+INDEX($E169:$Q169,1,F$125) * INDEX($V$128:$V$143,F$125,1)</f>
        <v>0</v>
      </c>
      <c r="G131" s="14">
        <f>+INDEX($E169:$Q169,1,G$125) * INDEX($V$128:$V$143,G$125,1)</f>
        <v>0</v>
      </c>
      <c r="H131" s="14">
        <f>+INDEX($E169:$Q169,1,H$125) * INDEX($V$128:$V$143,H$125,1)</f>
        <v>0</v>
      </c>
      <c r="I131" s="14">
        <f>+INDEX($E169:$Q169,1,I$125) * INDEX($V$128:$V$143,I$125,1)</f>
        <v>0</v>
      </c>
      <c r="J131" s="14">
        <f>+INDEX($E169:$Q169,1,J$125) * INDEX($V$128:$V$143,J$125,1)</f>
        <v>0</v>
      </c>
      <c r="K131" s="14">
        <f>+INDEX($E169:$Q169,1,K$125) * INDEX($V$128:$V$143,K$125,1)</f>
        <v>0</v>
      </c>
      <c r="L131" s="14">
        <f>+INDEX($E169:$Q169,1,L$125) * INDEX($V$128:$V$143,L$125,1)</f>
        <v>0</v>
      </c>
      <c r="M131" s="14">
        <f>+INDEX($E169:$Q169,1,M$125) * INDEX($V$128:$V$143,M$125,1)</f>
        <v>0</v>
      </c>
      <c r="N131" s="14">
        <f>+INDEX($E169:$Q169,1,N$125) * INDEX($V$128:$V$143,N$125,1)</f>
        <v>0</v>
      </c>
      <c r="O131" s="14">
        <f>+INDEX($E169:$Q169,1,O$125) * INDEX($V$128:$V$143,O$125,1)</f>
        <v>11908.769909137256</v>
      </c>
      <c r="P131" s="14">
        <f>+INDEX($E169:$Q169,1,P$125) * INDEX($V$128:$V$143,P$125,1)</f>
        <v>0</v>
      </c>
      <c r="Q131"/>
      <c r="R131"/>
      <c r="S131"/>
      <c r="T131" s="106" t="str">
        <f>'Energy matrix'!B50</f>
        <v>Gasoline</v>
      </c>
      <c r="U131" s="106"/>
      <c r="V131" s="107">
        <f>+INDEX('Energy matrix'!C50:N50,1,$D$2)</f>
        <v>2367.7359999999999</v>
      </c>
      <c r="W131" s="106"/>
      <c r="X131" s="82">
        <f t="shared" si="148"/>
        <v>2.3677359999999998</v>
      </c>
    </row>
    <row r="132" spans="3:32" ht="12.75" customHeight="1">
      <c r="C132" s="13" t="str">
        <f>$D$170</f>
        <v>Spatial heating</v>
      </c>
      <c r="D132" s="14">
        <f>+INDEX($E170:$Q170,1,D$125) * INDEX($V$128:$V$143,D$125,1)</f>
        <v>0</v>
      </c>
      <c r="E132" s="14">
        <f>+INDEX($E170:$Q170,1,E$125) * INDEX($V$128:$V$143,E$125,1)</f>
        <v>0</v>
      </c>
      <c r="F132" s="14">
        <f>+INDEX($E170:$Q170,1,F$125) * INDEX($V$128:$V$143,F$125,1)</f>
        <v>0</v>
      </c>
      <c r="G132" s="14">
        <f>+INDEX($E170:$Q170,1,G$125) * INDEX($V$128:$V$143,G$125,1)</f>
        <v>0</v>
      </c>
      <c r="H132" s="14">
        <f>+INDEX($E170:$Q170,1,H$125) * INDEX($V$128:$V$143,H$125,1)</f>
        <v>0</v>
      </c>
      <c r="I132" s="14">
        <f>+INDEX($E170:$Q170,1,I$125) * INDEX($V$128:$V$143,I$125,1)</f>
        <v>0</v>
      </c>
      <c r="J132" s="14">
        <f>+INDEX($E170:$Q170,1,J$125) * INDEX($V$128:$V$143,J$125,1)</f>
        <v>0</v>
      </c>
      <c r="K132" s="14">
        <f>+INDEX($E170:$Q170,1,K$125) * INDEX($V$128:$V$143,K$125,1)</f>
        <v>0</v>
      </c>
      <c r="L132" s="14">
        <f>+INDEX($E170:$Q170,1,L$125) * INDEX($V$128:$V$143,L$125,1)</f>
        <v>0</v>
      </c>
      <c r="M132" s="14">
        <f>+INDEX($E170:$Q170,1,M$125) * INDEX($V$128:$V$143,M$125,1)</f>
        <v>0</v>
      </c>
      <c r="N132" s="14">
        <f>+INDEX($E170:$Q170,1,N$125) * INDEX($V$128:$V$143,N$125,1)</f>
        <v>0</v>
      </c>
      <c r="O132" s="14">
        <f>+INDEX($E170:$Q170,1,O$125) * INDEX($V$128:$V$143,O$125,1)</f>
        <v>568.51275319201193</v>
      </c>
      <c r="P132" s="14">
        <f>+INDEX($E170:$Q170,1,P$125) * INDEX($V$128:$V$143,P$125,1)</f>
        <v>0</v>
      </c>
      <c r="Q132"/>
      <c r="R132"/>
      <c r="S132"/>
      <c r="T132" s="106" t="str">
        <f>'Energy matrix'!B51</f>
        <v>LPG</v>
      </c>
      <c r="U132" s="106"/>
      <c r="V132" s="107">
        <f>+INDEX('Energy matrix'!C51:N51,1,$D$2)</f>
        <v>8830.17</v>
      </c>
      <c r="W132" s="106"/>
      <c r="X132" s="82">
        <f t="shared" si="148"/>
        <v>8.8301700000000007</v>
      </c>
    </row>
    <row r="133" spans="3:32" ht="12.75" customHeight="1">
      <c r="C133" s="17" t="s">
        <v>57</v>
      </c>
      <c r="D133" s="18">
        <f t="shared" ref="D133:N133" si="149">SUM(D127:D132)</f>
        <v>0</v>
      </c>
      <c r="E133" s="18">
        <f t="shared" si="149"/>
        <v>0</v>
      </c>
      <c r="F133" s="18">
        <f t="shared" si="149"/>
        <v>77225.672999999995</v>
      </c>
      <c r="G133" s="18">
        <f t="shared" si="149"/>
        <v>2367.7359999999999</v>
      </c>
      <c r="H133" s="18">
        <f t="shared" si="149"/>
        <v>8830.17</v>
      </c>
      <c r="I133" s="18">
        <f t="shared" si="149"/>
        <v>0</v>
      </c>
      <c r="J133" s="18">
        <f t="shared" si="149"/>
        <v>10788.3</v>
      </c>
      <c r="K133" s="18">
        <f t="shared" si="149"/>
        <v>23474</v>
      </c>
      <c r="L133" s="18">
        <f t="shared" si="149"/>
        <v>4423.1379999999999</v>
      </c>
      <c r="M133" s="18">
        <f t="shared" si="149"/>
        <v>4242</v>
      </c>
      <c r="N133" s="18">
        <f t="shared" si="149"/>
        <v>0</v>
      </c>
      <c r="O133" s="18">
        <f t="shared" ref="O133:S133" si="150">SUM(O127:O132)</f>
        <v>18277.15795362835</v>
      </c>
      <c r="P133" s="18">
        <f t="shared" si="150"/>
        <v>0</v>
      </c>
      <c r="Q133"/>
      <c r="R133"/>
      <c r="S133"/>
      <c r="T133" s="106" t="str">
        <f>'Energy matrix'!B52</f>
        <v>Manufactured gases</v>
      </c>
      <c r="U133" s="106"/>
      <c r="V133" s="107">
        <f>+INDEX('Energy matrix'!C52:N52,1,$D$2)</f>
        <v>0</v>
      </c>
      <c r="W133" s="106"/>
      <c r="X133" s="82">
        <f t="shared" si="148"/>
        <v>0</v>
      </c>
    </row>
    <row r="134" spans="3:32" ht="12.75" customHeight="1">
      <c r="E134" s="24"/>
      <c r="F134" s="24"/>
      <c r="G134" s="24"/>
      <c r="H134" s="24"/>
      <c r="I134" s="24"/>
      <c r="J134" s="24"/>
      <c r="K134" s="24"/>
      <c r="O134" s="79"/>
      <c r="T134" s="106" t="str">
        <f>'Energy matrix'!B53</f>
        <v>Natural gas</v>
      </c>
      <c r="U134" s="106"/>
      <c r="V134" s="107">
        <f>+INDEX('Energy matrix'!C53:N53,1,$D$2)</f>
        <v>10788.3</v>
      </c>
      <c r="W134" s="106"/>
      <c r="X134" s="82">
        <f t="shared" si="148"/>
        <v>10.7883</v>
      </c>
    </row>
    <row r="135" spans="3:32" ht="12.75" customHeight="1">
      <c r="E135" s="24"/>
      <c r="F135" s="24"/>
      <c r="G135" s="24"/>
      <c r="H135" s="24"/>
      <c r="I135" s="24"/>
      <c r="J135" s="24"/>
      <c r="K135" s="24"/>
      <c r="O135" s="79"/>
      <c r="T135" s="106" t="str">
        <f>'Energy matrix'!B54</f>
        <v>Biogas</v>
      </c>
      <c r="U135" s="106"/>
      <c r="V135" s="107">
        <f>+INDEX('Energy matrix'!C54:N54,1,$D$2)</f>
        <v>23474</v>
      </c>
      <c r="W135" s="106"/>
      <c r="X135" s="82">
        <f t="shared" si="148"/>
        <v>23.474</v>
      </c>
    </row>
    <row r="136" spans="3:32" ht="12.75" customHeight="1">
      <c r="O136" s="79"/>
      <c r="T136" s="106" t="str">
        <f>'Energy matrix'!B55</f>
        <v>Biodiesel</v>
      </c>
      <c r="U136" s="106"/>
      <c r="V136" s="107">
        <f>+INDEX('Energy matrix'!C55:N55,1,$D$2)</f>
        <v>4423.1379999999999</v>
      </c>
      <c r="W136" s="106"/>
      <c r="X136" s="82">
        <f t="shared" si="148"/>
        <v>4.4231379999999998</v>
      </c>
    </row>
    <row r="137" spans="3:32" ht="12.75" customHeight="1">
      <c r="O137" s="79"/>
      <c r="T137" s="106" t="str">
        <f>'Energy matrix'!B56</f>
        <v>Biomass</v>
      </c>
      <c r="U137" s="106"/>
      <c r="V137" s="107">
        <f>+INDEX('Energy matrix'!C56:N56,1,$D$2)</f>
        <v>4242</v>
      </c>
      <c r="W137" s="106"/>
      <c r="X137" s="82">
        <f t="shared" si="148"/>
        <v>4.242</v>
      </c>
    </row>
    <row r="138" spans="3:32" ht="12.75" customHeight="1">
      <c r="D138" s="449"/>
      <c r="F138" s="24"/>
      <c r="G138" s="24"/>
      <c r="H138" s="24"/>
      <c r="I138" s="24"/>
      <c r="J138" s="24"/>
      <c r="K138" s="24"/>
      <c r="O138" s="79"/>
      <c r="T138" s="106" t="str">
        <f>'Energy matrix'!B57</f>
        <v>Waste</v>
      </c>
      <c r="U138" s="106"/>
      <c r="V138" s="107">
        <f>+INDEX('Energy matrix'!C57:N57,1,$D$2)</f>
        <v>0</v>
      </c>
      <c r="W138" s="110"/>
      <c r="X138" s="82">
        <f t="shared" si="148"/>
        <v>0</v>
      </c>
      <c r="AE138" s="28"/>
    </row>
    <row r="139" spans="3:32" s="257" customFormat="1" ht="12.75" customHeight="1">
      <c r="D139" s="449"/>
      <c r="E139" s="57"/>
      <c r="O139" s="79"/>
      <c r="R139" s="258"/>
      <c r="S139" s="258"/>
      <c r="T139" s="106" t="str">
        <f>'Energy matrix'!B58</f>
        <v>Electricity</v>
      </c>
      <c r="U139" s="106"/>
      <c r="V139" s="107">
        <f>+INDEX('Energy matrix'!C58:N58,1,$D$2)</f>
        <v>18212.400000000001</v>
      </c>
      <c r="W139" s="106"/>
      <c r="X139" s="82">
        <f t="shared" si="148"/>
        <v>18.212400000000002</v>
      </c>
      <c r="AE139" s="258"/>
    </row>
    <row r="140" spans="3:32" s="257" customFormat="1" ht="12.75" customHeight="1">
      <c r="D140" s="449"/>
      <c r="E140" s="57"/>
      <c r="O140" s="79"/>
      <c r="R140" s="258"/>
      <c r="S140" s="258"/>
      <c r="T140" s="106" t="str">
        <f>'Energy matrix'!B59</f>
        <v>District Heating</v>
      </c>
      <c r="U140" s="106"/>
      <c r="V140" s="107">
        <f>+INDEX('Energy matrix'!C59:N59,1,$D$2)</f>
        <v>0</v>
      </c>
      <c r="W140" s="106"/>
      <c r="X140" s="82">
        <f t="shared" si="148"/>
        <v>0</v>
      </c>
      <c r="AE140" s="258"/>
    </row>
    <row r="141" spans="3:32" s="257" customFormat="1" ht="12.75" customHeight="1">
      <c r="D141" s="449"/>
      <c r="E141" s="57"/>
      <c r="O141" s="79"/>
      <c r="R141" s="258"/>
      <c r="S141" s="258"/>
      <c r="T141" s="106" t="s">
        <v>57</v>
      </c>
      <c r="U141" s="106"/>
      <c r="V141" s="107">
        <f>SUM(V128:V140)</f>
        <v>149563.41699999999</v>
      </c>
      <c r="W141" s="106"/>
      <c r="X141" s="82">
        <f t="shared" si="148"/>
        <v>149.56341699999999</v>
      </c>
      <c r="AE141" s="258"/>
    </row>
    <row r="142" spans="3:32" s="257" customFormat="1" ht="12.75" customHeight="1">
      <c r="D142" s="449"/>
      <c r="E142" s="57"/>
      <c r="O142" s="79"/>
      <c r="R142" s="258"/>
      <c r="S142" s="258"/>
      <c r="T142" s="106"/>
      <c r="U142" s="106"/>
      <c r="V142" s="107"/>
      <c r="W142" s="106"/>
      <c r="X142" s="82"/>
      <c r="AE142" s="258"/>
    </row>
    <row r="143" spans="3:32" s="257" customFormat="1" ht="12.75" customHeight="1">
      <c r="D143" s="449"/>
      <c r="E143" s="57"/>
      <c r="O143" s="79"/>
      <c r="R143" s="258"/>
      <c r="S143" s="258"/>
      <c r="T143" s="106"/>
      <c r="U143" s="106"/>
      <c r="V143" s="107"/>
      <c r="W143" s="106"/>
      <c r="X143" s="82"/>
      <c r="AE143" s="258"/>
    </row>
    <row r="144" spans="3:32" ht="12.75" customHeight="1">
      <c r="C144" s="24" t="s">
        <v>249</v>
      </c>
      <c r="E144" s="24"/>
      <c r="F144" s="24"/>
      <c r="G144" s="24"/>
      <c r="H144" s="24"/>
      <c r="I144" s="24"/>
      <c r="J144" s="24"/>
      <c r="K144" s="24"/>
      <c r="O144" s="79"/>
      <c r="T144" s="106"/>
      <c r="U144" s="106"/>
      <c r="V144" s="107"/>
      <c r="W144" s="106"/>
      <c r="X144" s="82"/>
      <c r="AF144" s="28"/>
    </row>
    <row r="145" spans="3:32" ht="12.75" customHeight="1">
      <c r="D145" s="20" t="s">
        <v>55</v>
      </c>
      <c r="E145" s="20" t="s">
        <v>85</v>
      </c>
      <c r="F145" s="20" t="s">
        <v>68</v>
      </c>
      <c r="G145" s="20" t="s">
        <v>79</v>
      </c>
      <c r="H145" s="20" t="s">
        <v>53</v>
      </c>
      <c r="I145" s="20" t="s">
        <v>51</v>
      </c>
      <c r="J145" s="20" t="s">
        <v>77</v>
      </c>
      <c r="K145" s="20" t="s">
        <v>78</v>
      </c>
      <c r="L145" s="20" t="s">
        <v>80</v>
      </c>
      <c r="M145" s="20" t="s">
        <v>50</v>
      </c>
      <c r="N145" s="20" t="s">
        <v>56</v>
      </c>
      <c r="O145" s="79"/>
      <c r="X145" s="82"/>
      <c r="AF145" s="28"/>
    </row>
    <row r="146" spans="3:32" ht="12.75" customHeight="1">
      <c r="C146" s="13" t="str">
        <f>$D$165</f>
        <v>Process heat temperature</v>
      </c>
      <c r="D146" s="230">
        <f>D151*0.98</f>
        <v>0.93099999999999994</v>
      </c>
      <c r="E146" s="230">
        <f>E151*0.98</f>
        <v>0.93099999999999994</v>
      </c>
      <c r="F146" s="230">
        <f>F151*0.98</f>
        <v>0.94079999999999997</v>
      </c>
      <c r="G146" s="84"/>
      <c r="H146" s="230">
        <f t="shared" ref="H146:N146" si="151">H151*0.98</f>
        <v>0.99960000000000004</v>
      </c>
      <c r="I146" s="230">
        <f t="shared" si="151"/>
        <v>0.99960000000000004</v>
      </c>
      <c r="J146" s="230">
        <f t="shared" si="151"/>
        <v>0.99960000000000004</v>
      </c>
      <c r="K146" s="230">
        <f t="shared" si="151"/>
        <v>0.83299999999999996</v>
      </c>
      <c r="L146" s="230">
        <f t="shared" si="151"/>
        <v>0.93099999999999994</v>
      </c>
      <c r="M146" s="230">
        <f t="shared" si="151"/>
        <v>0.93099999999999994</v>
      </c>
      <c r="N146" s="230">
        <f t="shared" si="151"/>
        <v>0.94079999999999997</v>
      </c>
      <c r="O146" s="79"/>
      <c r="T146" s="232"/>
      <c r="U146" s="232"/>
      <c r="V146" s="233"/>
      <c r="W146" s="232"/>
      <c r="AF146" s="28"/>
    </row>
    <row r="147" spans="3:32" ht="12.75" customHeight="1">
      <c r="C147" s="13" t="str">
        <f>$D$166</f>
        <v>Cooling demand</v>
      </c>
      <c r="D147" s="230">
        <f>D146*0.98</f>
        <v>0.91237999999999997</v>
      </c>
      <c r="E147" s="230">
        <f>E146*0.98</f>
        <v>0.91237999999999997</v>
      </c>
      <c r="F147" s="230">
        <f>F146*0.98</f>
        <v>0.92198399999999991</v>
      </c>
      <c r="G147" s="84"/>
      <c r="H147" s="230">
        <f t="shared" ref="H147:N147" si="152">H146*0.98</f>
        <v>0.97960800000000003</v>
      </c>
      <c r="I147" s="230">
        <f t="shared" si="152"/>
        <v>0.97960800000000003</v>
      </c>
      <c r="J147" s="230">
        <f t="shared" si="152"/>
        <v>0.97960800000000003</v>
      </c>
      <c r="K147" s="230">
        <f t="shared" si="152"/>
        <v>0.81633999999999995</v>
      </c>
      <c r="L147" s="230">
        <f t="shared" si="152"/>
        <v>0.91237999999999997</v>
      </c>
      <c r="M147" s="230">
        <f t="shared" si="152"/>
        <v>0.91237999999999997</v>
      </c>
      <c r="N147" s="230">
        <f t="shared" si="152"/>
        <v>0.92198399999999991</v>
      </c>
      <c r="O147" s="79"/>
      <c r="T147" s="40"/>
      <c r="U147" s="40"/>
      <c r="W147" s="40"/>
      <c r="AF147" s="28"/>
    </row>
    <row r="148" spans="3:32" ht="12.75" customHeight="1">
      <c r="C148" s="13" t="str">
        <f>$D$167</f>
        <v>Haullage</v>
      </c>
      <c r="D148" s="85"/>
      <c r="E148" s="85"/>
      <c r="F148" s="85"/>
      <c r="G148" s="85"/>
      <c r="H148" s="85"/>
      <c r="I148" s="85"/>
      <c r="J148" s="85"/>
      <c r="K148" s="85"/>
      <c r="L148" s="85"/>
      <c r="M148" s="85"/>
      <c r="N148" s="85"/>
      <c r="O148" s="79"/>
      <c r="AF148" s="28"/>
    </row>
    <row r="149" spans="3:32" ht="12.75" customHeight="1">
      <c r="C149" s="13" t="str">
        <f>$D$168</f>
        <v>Light and electronics</v>
      </c>
      <c r="D149" s="86"/>
      <c r="E149" s="86"/>
      <c r="F149" s="83"/>
      <c r="G149" s="84"/>
      <c r="H149" s="86"/>
      <c r="I149" s="86"/>
      <c r="J149" s="86"/>
      <c r="K149" s="86"/>
      <c r="L149" s="86"/>
      <c r="M149" s="83">
        <v>1</v>
      </c>
      <c r="N149" s="83"/>
      <c r="O149" s="79"/>
      <c r="R149" s="24"/>
      <c r="S149" s="24"/>
      <c r="AF149" s="28"/>
    </row>
    <row r="150" spans="3:32" ht="12.75" customHeight="1">
      <c r="C150" s="13" t="str">
        <f>$D$169</f>
        <v>Electric motors</v>
      </c>
      <c r="D150" s="86"/>
      <c r="E150" s="86"/>
      <c r="F150" s="83"/>
      <c r="G150" s="84"/>
      <c r="H150" s="86"/>
      <c r="I150" s="86"/>
      <c r="J150" s="86"/>
      <c r="K150" s="86"/>
      <c r="L150" s="86"/>
      <c r="M150" s="83">
        <v>1</v>
      </c>
      <c r="N150" s="83"/>
      <c r="O150" s="79"/>
      <c r="R150" s="24"/>
      <c r="S150" s="24"/>
      <c r="AF150" s="28"/>
    </row>
    <row r="151" spans="3:32" ht="12.75" customHeight="1">
      <c r="C151" s="13" t="str">
        <f>$D$170</f>
        <v>Spatial heating</v>
      </c>
      <c r="D151" s="83">
        <v>0.95</v>
      </c>
      <c r="E151" s="83">
        <v>0.95</v>
      </c>
      <c r="F151" s="83">
        <v>0.96</v>
      </c>
      <c r="G151" s="84"/>
      <c r="H151" s="83">
        <f>I151</f>
        <v>1.02</v>
      </c>
      <c r="I151" s="83">
        <v>1.02</v>
      </c>
      <c r="J151" s="83">
        <f>I151</f>
        <v>1.02</v>
      </c>
      <c r="K151" s="230">
        <v>0.85</v>
      </c>
      <c r="L151" s="83">
        <v>0.95</v>
      </c>
      <c r="M151" s="83">
        <v>0.95</v>
      </c>
      <c r="N151" s="83">
        <v>0.96</v>
      </c>
      <c r="O151" s="79"/>
      <c r="R151" s="24"/>
      <c r="S151" s="24"/>
      <c r="AF151" s="28"/>
    </row>
    <row r="152" spans="3:32" ht="12.75" customHeight="1">
      <c r="D152" s="87"/>
      <c r="E152" s="87"/>
      <c r="F152" s="87"/>
      <c r="G152" s="88"/>
      <c r="H152" s="87"/>
      <c r="I152" s="87"/>
      <c r="J152" s="87"/>
      <c r="K152" s="87"/>
      <c r="L152" s="87"/>
      <c r="M152" s="87"/>
      <c r="N152" s="87"/>
      <c r="O152" s="79"/>
      <c r="R152" s="24"/>
      <c r="S152" s="24"/>
      <c r="AF152" s="28"/>
    </row>
    <row r="153" spans="3:32" ht="12.75" customHeight="1">
      <c r="O153" s="79"/>
      <c r="R153" s="24"/>
      <c r="S153" s="24"/>
      <c r="AF153" s="28"/>
    </row>
    <row r="154" spans="3:32" ht="12.75" customHeight="1">
      <c r="C154" s="55"/>
      <c r="D154" s="55"/>
      <c r="O154" s="79"/>
      <c r="R154" s="24"/>
      <c r="S154" s="24"/>
      <c r="AF154" s="28"/>
    </row>
    <row r="155" spans="3:32" ht="12.75" customHeight="1">
      <c r="C155" s="55"/>
      <c r="D155" s="55"/>
      <c r="R155" s="24"/>
      <c r="S155" s="24"/>
      <c r="AF155" s="28"/>
    </row>
    <row r="156" spans="3:32" ht="12.75" customHeight="1">
      <c r="R156" s="24"/>
      <c r="S156" s="24"/>
      <c r="AF156" s="28"/>
    </row>
    <row r="158" spans="3:32" s="387" customFormat="1" ht="20" thickBot="1">
      <c r="C158" s="391"/>
      <c r="E158" s="388"/>
      <c r="F158" s="388"/>
      <c r="G158" s="389"/>
      <c r="H158" s="389"/>
      <c r="I158" s="389"/>
      <c r="J158" s="389"/>
      <c r="K158" s="389"/>
      <c r="R158" s="390"/>
      <c r="S158" s="390"/>
    </row>
    <row r="159" spans="3:32" ht="15">
      <c r="C159" s="147"/>
      <c r="D159" s="146"/>
      <c r="E159" s="24"/>
      <c r="F159" s="24"/>
      <c r="G159" s="24"/>
      <c r="H159" s="24"/>
      <c r="I159" s="24"/>
      <c r="J159" s="24"/>
      <c r="K159" s="24"/>
    </row>
    <row r="160" spans="3:32">
      <c r="E160" s="24"/>
      <c r="F160" s="24"/>
      <c r="G160" s="24"/>
      <c r="H160" s="24"/>
      <c r="I160" s="24"/>
      <c r="J160" s="24"/>
      <c r="K160" s="24"/>
      <c r="R160" s="24"/>
      <c r="T160" s="28"/>
      <c r="Y160" s="24"/>
    </row>
    <row r="161" spans="3:27" ht="21">
      <c r="C161" s="448" t="s">
        <v>382</v>
      </c>
      <c r="E161" s="24"/>
      <c r="G161" s="57"/>
      <c r="L161" s="30"/>
      <c r="R161" s="24"/>
      <c r="S161" s="24"/>
      <c r="Y161" s="24"/>
    </row>
    <row r="162" spans="3:27">
      <c r="D162" s="78"/>
      <c r="E162" s="44"/>
      <c r="F162" s="44"/>
      <c r="G162" s="44"/>
      <c r="H162" s="44"/>
      <c r="I162" s="44"/>
      <c r="J162" s="44"/>
      <c r="K162" s="44"/>
      <c r="L162" s="44"/>
      <c r="M162" s="44"/>
      <c r="N162" s="44"/>
      <c r="O162" s="44"/>
      <c r="P162" s="44"/>
      <c r="Q162" s="44"/>
      <c r="R162" s="44"/>
      <c r="T162" s="28"/>
      <c r="Y162" s="24"/>
    </row>
    <row r="163" spans="3:27">
      <c r="E163" s="44"/>
      <c r="F163" s="44"/>
      <c r="G163" s="44"/>
      <c r="H163" s="44"/>
      <c r="I163" s="44"/>
      <c r="J163" s="44"/>
      <c r="K163" s="44"/>
      <c r="L163" s="44"/>
      <c r="M163" s="44"/>
      <c r="N163" s="44"/>
      <c r="O163" s="44"/>
      <c r="P163" s="44"/>
      <c r="Q163" s="44"/>
      <c r="R163" s="44"/>
      <c r="T163" s="28"/>
      <c r="Y163" s="24"/>
    </row>
    <row r="164" spans="3:27">
      <c r="C164" s="10" t="s">
        <v>140</v>
      </c>
      <c r="D164" s="11" t="s">
        <v>141</v>
      </c>
      <c r="E164" s="19" t="s">
        <v>135</v>
      </c>
      <c r="F164" s="19" t="s">
        <v>136</v>
      </c>
      <c r="G164" s="19" t="s">
        <v>137</v>
      </c>
      <c r="H164" s="19" t="s">
        <v>138</v>
      </c>
      <c r="I164" s="19" t="s">
        <v>139</v>
      </c>
      <c r="J164" s="19" t="s">
        <v>476</v>
      </c>
      <c r="K164" s="19" t="s">
        <v>477</v>
      </c>
      <c r="L164" s="19" t="s">
        <v>437</v>
      </c>
      <c r="M164" s="19" t="s">
        <v>478</v>
      </c>
      <c r="N164" s="19" t="s">
        <v>479</v>
      </c>
      <c r="O164" s="19" t="s">
        <v>480</v>
      </c>
      <c r="P164" s="174" t="s">
        <v>481</v>
      </c>
      <c r="Q164" s="174" t="s">
        <v>482</v>
      </c>
      <c r="W164" s="257"/>
      <c r="X164" s="257"/>
      <c r="Y164" s="24"/>
      <c r="Z164" s="24"/>
      <c r="AA164" s="24"/>
    </row>
    <row r="165" spans="3:27">
      <c r="C165" s="12" t="str">
        <f>D6</f>
        <v xml:space="preserve">Agriculture, forestry and fishing </v>
      </c>
      <c r="D165" s="13" t="s">
        <v>390</v>
      </c>
      <c r="E165" s="21">
        <v>1</v>
      </c>
      <c r="F165" s="21"/>
      <c r="G165" s="21">
        <v>0</v>
      </c>
      <c r="H165" s="21">
        <v>0</v>
      </c>
      <c r="I165" s="21">
        <v>0.25</v>
      </c>
      <c r="J165" s="21">
        <v>1</v>
      </c>
      <c r="K165" s="21">
        <v>1</v>
      </c>
      <c r="L165" s="21">
        <v>1</v>
      </c>
      <c r="N165" s="21">
        <v>1</v>
      </c>
      <c r="O165" s="21">
        <v>1</v>
      </c>
      <c r="P165" s="21"/>
      <c r="Q165" s="21"/>
      <c r="W165" s="257"/>
      <c r="X165" s="257"/>
      <c r="Y165" s="24"/>
      <c r="Z165" s="24"/>
      <c r="AA165" s="24"/>
    </row>
    <row r="166" spans="3:27">
      <c r="C166" s="15"/>
      <c r="D166" s="13" t="s">
        <v>391</v>
      </c>
      <c r="E166" s="21"/>
      <c r="F166" s="21"/>
      <c r="G166" s="21"/>
      <c r="H166" s="21">
        <v>0</v>
      </c>
      <c r="I166" s="21"/>
      <c r="J166" s="21"/>
      <c r="K166" s="21"/>
      <c r="L166" s="21">
        <v>0</v>
      </c>
      <c r="M166" s="21">
        <v>0</v>
      </c>
      <c r="N166" s="537"/>
      <c r="O166" s="21">
        <v>0</v>
      </c>
      <c r="P166" s="21">
        <v>0.1</v>
      </c>
      <c r="Q166" s="21">
        <v>0</v>
      </c>
      <c r="W166" s="257"/>
      <c r="X166" s="257"/>
      <c r="Y166" s="24"/>
      <c r="Z166" s="24"/>
      <c r="AA166" s="24"/>
    </row>
    <row r="167" spans="3:27">
      <c r="C167" s="15"/>
      <c r="D167" s="13" t="s">
        <v>392</v>
      </c>
      <c r="E167" s="21">
        <v>0</v>
      </c>
      <c r="F167" s="21">
        <v>1</v>
      </c>
      <c r="G167" s="21">
        <v>1</v>
      </c>
      <c r="H167" s="538">
        <v>1</v>
      </c>
      <c r="I167" s="21">
        <v>0.75</v>
      </c>
      <c r="J167" s="21">
        <v>0</v>
      </c>
      <c r="K167" s="21">
        <v>0</v>
      </c>
      <c r="L167" s="21">
        <v>0</v>
      </c>
      <c r="M167" s="21">
        <v>1</v>
      </c>
      <c r="N167" s="21"/>
      <c r="O167" s="21">
        <v>0</v>
      </c>
      <c r="P167" s="21">
        <v>0</v>
      </c>
      <c r="Q167" s="21">
        <v>0</v>
      </c>
      <c r="W167" s="257"/>
      <c r="X167" s="257"/>
      <c r="Y167" s="24"/>
      <c r="Z167" s="24"/>
      <c r="AA167" s="24"/>
    </row>
    <row r="168" spans="3:27">
      <c r="C168" s="15"/>
      <c r="D168" s="13" t="s">
        <v>393</v>
      </c>
      <c r="E168" s="21">
        <v>0</v>
      </c>
      <c r="F168" s="21">
        <v>0</v>
      </c>
      <c r="G168" s="21">
        <v>0</v>
      </c>
      <c r="H168" s="21">
        <v>0</v>
      </c>
      <c r="I168" s="21">
        <v>0</v>
      </c>
      <c r="J168" s="21">
        <v>0</v>
      </c>
      <c r="K168" s="21">
        <v>0</v>
      </c>
      <c r="L168" s="21">
        <v>0</v>
      </c>
      <c r="M168" s="21">
        <v>0</v>
      </c>
      <c r="N168" s="21">
        <v>0</v>
      </c>
      <c r="O168" s="21">
        <v>0</v>
      </c>
      <c r="P168" s="21">
        <v>0.21845749551399499</v>
      </c>
      <c r="Q168" s="21">
        <v>0</v>
      </c>
      <c r="W168" s="257"/>
      <c r="X168" s="257"/>
      <c r="Y168" s="24"/>
      <c r="Z168" s="24"/>
      <c r="AA168" s="24"/>
    </row>
    <row r="169" spans="3:27">
      <c r="C169" s="15"/>
      <c r="D169" s="13" t="s">
        <v>394</v>
      </c>
      <c r="E169" s="21">
        <v>0</v>
      </c>
      <c r="F169" s="21">
        <v>0</v>
      </c>
      <c r="G169" s="21">
        <v>0</v>
      </c>
      <c r="H169" s="21">
        <v>0</v>
      </c>
      <c r="I169" s="21">
        <v>0</v>
      </c>
      <c r="J169" s="21">
        <v>0</v>
      </c>
      <c r="K169" s="21">
        <v>0</v>
      </c>
      <c r="L169" s="21">
        <v>0</v>
      </c>
      <c r="M169" s="21">
        <v>0</v>
      </c>
      <c r="N169" s="21">
        <v>0</v>
      </c>
      <c r="O169" s="21">
        <v>0</v>
      </c>
      <c r="P169" s="21">
        <f>49%+16.388251461297%</f>
        <v>0.65388251461296998</v>
      </c>
      <c r="Q169" s="21">
        <v>0</v>
      </c>
      <c r="W169" s="257"/>
      <c r="X169" s="257"/>
      <c r="Y169" s="24"/>
      <c r="Z169" s="24"/>
      <c r="AA169" s="24"/>
    </row>
    <row r="170" spans="3:27">
      <c r="C170" s="16"/>
      <c r="D170" s="13" t="s">
        <v>395</v>
      </c>
      <c r="E170" s="21"/>
      <c r="F170" s="21"/>
      <c r="G170" s="21"/>
      <c r="H170" s="21"/>
      <c r="I170" s="21"/>
      <c r="J170" s="21"/>
      <c r="K170" s="21"/>
      <c r="L170" s="21"/>
      <c r="M170" s="21"/>
      <c r="N170" s="21"/>
      <c r="O170" s="21"/>
      <c r="P170" s="21">
        <v>3.1215696623839356E-2</v>
      </c>
      <c r="Q170" s="21">
        <v>1</v>
      </c>
      <c r="W170" s="257"/>
      <c r="X170" s="257"/>
      <c r="Y170" s="24"/>
      <c r="Z170" s="24"/>
      <c r="AA170" s="24"/>
    </row>
    <row r="171" spans="3:27">
      <c r="C171" s="17" t="str">
        <f>C165</f>
        <v xml:space="preserve">Agriculture, forestry and fishing </v>
      </c>
      <c r="D171" s="17"/>
      <c r="E171" s="22">
        <f>SUM(E165:E170)</f>
        <v>1</v>
      </c>
      <c r="F171" s="22">
        <f t="shared" ref="F171:J171" si="153">SUM(F165:F170)</f>
        <v>1</v>
      </c>
      <c r="G171" s="22">
        <f t="shared" si="153"/>
        <v>1</v>
      </c>
      <c r="H171" s="22">
        <f t="shared" si="153"/>
        <v>1</v>
      </c>
      <c r="I171" s="22">
        <f t="shared" si="153"/>
        <v>1</v>
      </c>
      <c r="J171" s="22">
        <f t="shared" si="153"/>
        <v>1</v>
      </c>
      <c r="K171" s="22">
        <f t="shared" ref="K171:M171" si="154">SUM(K165:K170)</f>
        <v>1</v>
      </c>
      <c r="L171" s="22">
        <f>SUM(L165:L170)</f>
        <v>1</v>
      </c>
      <c r="M171" s="22">
        <f>SUM(M166:M170)</f>
        <v>1</v>
      </c>
      <c r="N171" s="22">
        <f>SUM(N165:N170)</f>
        <v>1</v>
      </c>
      <c r="O171" s="22">
        <f>SUM(O165:O170)</f>
        <v>1</v>
      </c>
      <c r="P171" s="22">
        <f>SUM(P165:P170)</f>
        <v>1.0035557067508043</v>
      </c>
      <c r="Q171" s="22">
        <f>SUM(Q165:Q170)</f>
        <v>1</v>
      </c>
      <c r="W171" s="257"/>
      <c r="X171" s="257"/>
      <c r="Y171" s="24"/>
      <c r="Z171" s="24"/>
      <c r="AA171" s="24"/>
    </row>
    <row r="178" spans="8:8">
      <c r="H178" s="259"/>
    </row>
    <row r="179" spans="8:8">
      <c r="H179" s="259"/>
    </row>
    <row r="180" spans="8:8">
      <c r="H180" s="259"/>
    </row>
    <row r="181" spans="8:8">
      <c r="H181" s="259"/>
    </row>
    <row r="182" spans="8:8">
      <c r="H182" s="259"/>
    </row>
    <row r="183" spans="8:8">
      <c r="H183" s="259"/>
    </row>
    <row r="184" spans="8:8">
      <c r="H184" s="259"/>
    </row>
    <row r="185" spans="8:8">
      <c r="H185" s="259"/>
    </row>
    <row r="186" spans="8:8">
      <c r="H186" s="259"/>
    </row>
    <row r="187" spans="8:8">
      <c r="H187" s="259"/>
    </row>
    <row r="188" spans="8:8">
      <c r="H188" s="259"/>
    </row>
    <row r="189" spans="8:8">
      <c r="H189" s="259"/>
    </row>
  </sheetData>
  <sortState xmlns:xlrd2="http://schemas.microsoft.com/office/spreadsheetml/2017/richdata2" ref="A8:A29">
    <sortCondition ref="A8:A29"/>
  </sortState>
  <mergeCells count="3">
    <mergeCell ref="AK19:AK21"/>
    <mergeCell ref="AX19:AX21"/>
    <mergeCell ref="BK19:BK21"/>
  </mergeCells>
  <phoneticPr fontId="167" type="noConversion"/>
  <conditionalFormatting sqref="E73">
    <cfRule type="cellIs" dxfId="6" priority="61" operator="notEqual">
      <formula>"Ok"</formula>
    </cfRule>
  </conditionalFormatting>
  <conditionalFormatting sqref="A26:A60">
    <cfRule type="cellIs" dxfId="5" priority="63" stopIfTrue="1" operator="notEqual">
      <formula>0</formula>
    </cfRule>
  </conditionalFormatting>
  <conditionalFormatting sqref="D16">
    <cfRule type="expression" dxfId="4" priority="59">
      <formula>$D$16&lt;&gt;"Ok"</formula>
    </cfRule>
  </conditionalFormatting>
  <conditionalFormatting sqref="D18">
    <cfRule type="cellIs" dxfId="3" priority="57" operator="notEqual">
      <formula>"Ok"</formula>
    </cfRule>
  </conditionalFormatting>
  <conditionalFormatting sqref="E123">
    <cfRule type="cellIs" dxfId="2" priority="54" operator="notEqual">
      <formula>"Ok"</formula>
    </cfRule>
  </conditionalFormatting>
  <conditionalFormatting sqref="AT26:AU44 AT46:AU54 AT56:AU62">
    <cfRule type="expression" priority="45">
      <formula>AN26</formula>
    </cfRule>
  </conditionalFormatting>
  <conditionalFormatting sqref="AT45:AU45">
    <cfRule type="expression" priority="44">
      <formula>AN45</formula>
    </cfRule>
  </conditionalFormatting>
  <conditionalFormatting sqref="AT55:AU55">
    <cfRule type="expression" priority="43">
      <formula>AN55</formula>
    </cfRule>
  </conditionalFormatting>
  <conditionalFormatting sqref="BV26:BV44 BV46:BV54 BV56:BV62">
    <cfRule type="expression" priority="9">
      <formula>BP26</formula>
    </cfRule>
  </conditionalFormatting>
  <conditionalFormatting sqref="BT45:BU45">
    <cfRule type="expression" priority="11">
      <formula>BN45</formula>
    </cfRule>
  </conditionalFormatting>
  <conditionalFormatting sqref="E98">
    <cfRule type="cellIs" dxfId="1" priority="40" operator="notEqual">
      <formula>"Ok"</formula>
    </cfRule>
  </conditionalFormatting>
  <conditionalFormatting sqref="AV26:AV44 AV46:AV54 AV56:AV62">
    <cfRule type="expression" priority="27">
      <formula>AP26</formula>
    </cfRule>
  </conditionalFormatting>
  <conditionalFormatting sqref="AV45">
    <cfRule type="expression" priority="26">
      <formula>AP45</formula>
    </cfRule>
  </conditionalFormatting>
  <conditionalFormatting sqref="AV55">
    <cfRule type="expression" priority="25">
      <formula>AP55</formula>
    </cfRule>
  </conditionalFormatting>
  <conditionalFormatting sqref="BV45">
    <cfRule type="expression" priority="8">
      <formula>BP45</formula>
    </cfRule>
  </conditionalFormatting>
  <conditionalFormatting sqref="BV55">
    <cfRule type="expression" priority="7">
      <formula>BP55</formula>
    </cfRule>
  </conditionalFormatting>
  <conditionalFormatting sqref="BT26:BU44 BT46:BU54 BT56:BU62">
    <cfRule type="expression" priority="12">
      <formula>BN26</formula>
    </cfRule>
  </conditionalFormatting>
  <conditionalFormatting sqref="BT55:BU55">
    <cfRule type="expression" priority="10">
      <formula>BN55</formula>
    </cfRule>
  </conditionalFormatting>
  <conditionalFormatting sqref="BI26:BI44 BI46:BI54 BI56:BI62">
    <cfRule type="expression" priority="15">
      <formula>BC26</formula>
    </cfRule>
  </conditionalFormatting>
  <conditionalFormatting sqref="BI45">
    <cfRule type="expression" priority="14">
      <formula>BC45</formula>
    </cfRule>
  </conditionalFormatting>
  <conditionalFormatting sqref="BI55">
    <cfRule type="expression" priority="13">
      <formula>BC55</formula>
    </cfRule>
  </conditionalFormatting>
  <conditionalFormatting sqref="BG26:BH44 BG46:BH54 BG56:BH62">
    <cfRule type="expression" priority="18">
      <formula>BA26</formula>
    </cfRule>
  </conditionalFormatting>
  <conditionalFormatting sqref="BG45:BH45">
    <cfRule type="expression" priority="17">
      <formula>BA45</formula>
    </cfRule>
  </conditionalFormatting>
  <conditionalFormatting sqref="BG55:BH55">
    <cfRule type="expression" priority="16">
      <formula>BA55</formula>
    </cfRule>
  </conditionalFormatting>
  <conditionalFormatting sqref="BF26:BF44 BF46:BF54 BF56:BF62">
    <cfRule type="expression" priority="3">
      <formula>AZ26</formula>
    </cfRule>
  </conditionalFormatting>
  <conditionalFormatting sqref="BF45">
    <cfRule type="expression" priority="2">
      <formula>AZ45</formula>
    </cfRule>
  </conditionalFormatting>
  <conditionalFormatting sqref="BF55">
    <cfRule type="expression" priority="1">
      <formula>AZ55</formula>
    </cfRule>
  </conditionalFormatting>
  <conditionalFormatting sqref="BD26:BE44 BD46:BE54 BD56:BE62">
    <cfRule type="expression" priority="6">
      <formula>AX26</formula>
    </cfRule>
  </conditionalFormatting>
  <conditionalFormatting sqref="BD45:BE45">
    <cfRule type="expression" priority="5">
      <formula>AX45</formula>
    </cfRule>
  </conditionalFormatting>
  <conditionalFormatting sqref="BD55:BE55">
    <cfRule type="expression" priority="4">
      <formula>AX55</formula>
    </cfRule>
  </conditionalFormatting>
  <pageMargins left="0.75" right="0.75" top="1" bottom="1" header="0.5" footer="0.5"/>
  <pageSetup paperSize="9" orientation="portrait" horizontalDpi="300" verticalDpi="300"/>
  <headerFooter alignWithMargins="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92D050"/>
  </sheetPr>
  <dimension ref="A1:AI68"/>
  <sheetViews>
    <sheetView showGridLines="0" topLeftCell="A20" zoomScale="193" zoomScaleNormal="80" workbookViewId="0">
      <selection activeCell="F29" sqref="F29"/>
    </sheetView>
  </sheetViews>
  <sheetFormatPr baseColWidth="10" defaultColWidth="9.1640625" defaultRowHeight="14"/>
  <cols>
    <col min="1" max="1" width="13.6640625" style="24" customWidth="1"/>
    <col min="2" max="2" width="12.6640625" style="24" customWidth="1"/>
    <col min="3" max="3" width="14" style="24" customWidth="1"/>
    <col min="4" max="4" width="10.5" style="24" customWidth="1"/>
    <col min="5" max="5" width="11.33203125" style="24" customWidth="1"/>
    <col min="6" max="7" width="6.1640625" style="24" customWidth="1"/>
    <col min="8" max="9" width="10.5" style="24" customWidth="1"/>
    <col min="10" max="13" width="9.1640625" style="24"/>
    <col min="14" max="19" width="9.1640625" style="28"/>
    <col min="20" max="16384" width="9.1640625" style="24"/>
  </cols>
  <sheetData>
    <row r="1" spans="2:19">
      <c r="G1" s="26"/>
      <c r="H1" s="27"/>
      <c r="N1" s="24"/>
      <c r="O1" s="24"/>
      <c r="P1" s="24"/>
      <c r="Q1" s="24"/>
      <c r="R1" s="24"/>
      <c r="S1" s="24"/>
    </row>
    <row r="2" spans="2:19">
      <c r="L2" s="80"/>
      <c r="M2" s="80"/>
      <c r="N2" s="80" t="s">
        <v>144</v>
      </c>
      <c r="O2" s="81" t="e">
        <f>+IF(AND(K6:K18=MID(B6:B18,7,99)),"Ok","ERROR")</f>
        <v>#VALUE!</v>
      </c>
      <c r="P2" s="24"/>
      <c r="Q2" s="24"/>
      <c r="R2" s="24"/>
      <c r="S2" s="24"/>
    </row>
    <row r="3" spans="2:19">
      <c r="C3" s="28"/>
      <c r="D3" s="28"/>
      <c r="E3" s="29" t="s">
        <v>8</v>
      </c>
      <c r="F3" s="28"/>
      <c r="N3" s="24"/>
      <c r="O3" s="24"/>
      <c r="P3" s="24"/>
      <c r="Q3" s="24"/>
      <c r="R3" s="24"/>
      <c r="S3" s="24"/>
    </row>
    <row r="4" spans="2:19" ht="15">
      <c r="B4" s="32" t="s">
        <v>2</v>
      </c>
      <c r="C4" s="32" t="s">
        <v>26</v>
      </c>
      <c r="D4" s="32" t="s">
        <v>14</v>
      </c>
      <c r="E4" s="33" t="s">
        <v>15</v>
      </c>
      <c r="F4" s="34" t="s">
        <v>16</v>
      </c>
      <c r="G4" s="34" t="s">
        <v>58</v>
      </c>
      <c r="H4" s="238"/>
      <c r="I4" s="238"/>
      <c r="L4" s="335" t="s">
        <v>443</v>
      </c>
      <c r="M4" s="335" t="s">
        <v>458</v>
      </c>
      <c r="N4" s="24"/>
      <c r="O4" s="24"/>
      <c r="P4" s="24"/>
      <c r="Q4" s="24"/>
      <c r="R4" s="24"/>
      <c r="S4" s="24"/>
    </row>
    <row r="5" spans="2:19" ht="15" thickBot="1">
      <c r="B5" s="35" t="s">
        <v>45</v>
      </c>
      <c r="C5" s="36"/>
      <c r="D5" s="36"/>
      <c r="E5" s="37"/>
      <c r="F5" s="38"/>
      <c r="G5" s="38"/>
      <c r="H5" s="239"/>
      <c r="I5" s="239"/>
      <c r="L5" s="336" t="s">
        <v>153</v>
      </c>
      <c r="M5" s="336" t="s">
        <v>153</v>
      </c>
      <c r="N5" s="24"/>
      <c r="O5" s="24"/>
      <c r="P5" s="24"/>
      <c r="Q5" s="24"/>
      <c r="R5" s="24"/>
      <c r="S5" s="24"/>
    </row>
    <row r="6" spans="2:19">
      <c r="B6" s="133" t="str">
        <f>Processes!D44</f>
        <v>FT-AGRNGA</v>
      </c>
      <c r="C6" s="133" t="str">
        <f>Processes!E44</f>
        <v>FT technology Agriculture NGA</v>
      </c>
      <c r="D6" s="133" t="s">
        <v>423</v>
      </c>
      <c r="E6" s="133" t="str">
        <f>Commodities!D13</f>
        <v>AGRNGA</v>
      </c>
      <c r="F6" s="178">
        <v>1</v>
      </c>
      <c r="G6" s="133">
        <v>50</v>
      </c>
      <c r="H6" s="240"/>
      <c r="I6" s="240"/>
      <c r="K6" s="175" t="str">
        <f>Agriculture!AL26</f>
        <v>NGA</v>
      </c>
      <c r="L6" s="332">
        <f t="shared" ref="L6:L18" ca="1" si="0">+SUMIFS(INDIRECT(L$5&amp;"!AF$31:AF$65"),INDIRECT(L$5&amp;"!$AD$31:$AD$65"),   $K6)</f>
        <v>0</v>
      </c>
      <c r="M6" s="354">
        <f t="shared" ref="M6:M18" ca="1" si="1">+SUMIFS(INDIRECT(M$5&amp;"!AG$31:AG$65"),INDIRECT(M$5&amp;"!$AD$31:$AD$65"),   $K6)</f>
        <v>0</v>
      </c>
      <c r="N6" s="24"/>
      <c r="O6" s="24"/>
      <c r="P6" s="24"/>
      <c r="Q6" s="24"/>
      <c r="R6" s="24"/>
      <c r="S6" s="24"/>
    </row>
    <row r="7" spans="2:19">
      <c r="B7" s="133" t="str">
        <f>Processes!D45</f>
        <v>FT-AGRCOA</v>
      </c>
      <c r="C7" s="133" t="str">
        <f>Processes!E45</f>
        <v>FT technology Agriculture COA</v>
      </c>
      <c r="D7" s="133" t="str">
        <f t="shared" ref="D7:D26" si="2">VLOOKUP(MID(B7,7,99),$K$26:$L$45,2,FALSE)</f>
        <v>COA</v>
      </c>
      <c r="E7" s="133" t="str">
        <f>Commodities!D14</f>
        <v>AGRCOA</v>
      </c>
      <c r="F7" s="178">
        <v>1</v>
      </c>
      <c r="G7" s="133">
        <v>50</v>
      </c>
      <c r="H7" s="240"/>
      <c r="I7" s="338"/>
      <c r="K7" s="176" t="str">
        <f>Agriculture!AL27</f>
        <v>COA</v>
      </c>
      <c r="L7" s="332">
        <f t="shared" ca="1" si="0"/>
        <v>0</v>
      </c>
      <c r="M7" s="332">
        <f t="shared" ca="1" si="1"/>
        <v>0</v>
      </c>
      <c r="N7" s="24"/>
      <c r="O7" s="24"/>
      <c r="P7" s="24"/>
      <c r="Q7" s="24"/>
      <c r="R7" s="24"/>
      <c r="S7" s="24"/>
    </row>
    <row r="8" spans="2:19">
      <c r="B8" s="133" t="str">
        <f>Processes!D46</f>
        <v>FT-AGRDSL</v>
      </c>
      <c r="C8" s="133" t="str">
        <f>Processes!E46</f>
        <v>FT technology Agriculture DSL</v>
      </c>
      <c r="D8" s="133" t="str">
        <f t="shared" si="2"/>
        <v>DSL</v>
      </c>
      <c r="E8" s="133" t="str">
        <f>Commodities!D15</f>
        <v>AGRDSL</v>
      </c>
      <c r="F8" s="178">
        <v>1</v>
      </c>
      <c r="G8" s="133">
        <v>50</v>
      </c>
      <c r="H8" s="240">
        <f ca="1">SUM(L8:L8)</f>
        <v>0</v>
      </c>
      <c r="I8" s="338">
        <f ca="1">SUM(M8:M8)</f>
        <v>0</v>
      </c>
      <c r="K8" s="176" t="str">
        <f>Agriculture!AL28</f>
        <v>DSL</v>
      </c>
      <c r="L8" s="332">
        <f t="shared" ca="1" si="0"/>
        <v>0</v>
      </c>
      <c r="M8" s="332">
        <f t="shared" ca="1" si="1"/>
        <v>0</v>
      </c>
      <c r="N8" s="24"/>
      <c r="O8" s="24"/>
      <c r="P8" s="24"/>
      <c r="Q8" s="24"/>
      <c r="R8" s="24"/>
      <c r="S8" s="24"/>
    </row>
    <row r="9" spans="2:19">
      <c r="B9" s="133" t="str">
        <f>Processes!D47</f>
        <v>FT-AGRWPE</v>
      </c>
      <c r="C9" s="133" t="str">
        <f>Processes!E47</f>
        <v>FT technology Agriculture WPE</v>
      </c>
      <c r="D9" s="133" t="str">
        <f t="shared" si="2"/>
        <v>WPE</v>
      </c>
      <c r="E9" s="133" t="str">
        <f>Commodities!D16</f>
        <v>AGRWPE</v>
      </c>
      <c r="F9" s="178">
        <v>1</v>
      </c>
      <c r="G9" s="133">
        <v>50</v>
      </c>
      <c r="H9" s="240">
        <f ca="1">SUM(L9:L9)*0.5</f>
        <v>0</v>
      </c>
      <c r="I9" s="338">
        <f ca="1">SUM(M9:M9)*0.5</f>
        <v>0</v>
      </c>
      <c r="K9" s="176" t="str">
        <f>Agriculture!AL29</f>
        <v>WPE</v>
      </c>
      <c r="L9" s="332">
        <f t="shared" ca="1" si="0"/>
        <v>0</v>
      </c>
      <c r="M9" s="332">
        <f t="shared" ca="1" si="1"/>
        <v>0</v>
      </c>
      <c r="N9" s="24"/>
      <c r="O9" s="24"/>
      <c r="P9" s="24"/>
      <c r="Q9" s="24"/>
      <c r="R9" s="24"/>
      <c r="S9" s="24"/>
    </row>
    <row r="10" spans="2:19">
      <c r="B10" s="133" t="str">
        <f>Processes!D48</f>
        <v>FT-AGRWCH</v>
      </c>
      <c r="C10" s="133" t="str">
        <f>Processes!E48</f>
        <v>FT technology Agriculture WCH</v>
      </c>
      <c r="D10" s="133" t="str">
        <f t="shared" si="2"/>
        <v>WCH</v>
      </c>
      <c r="E10" s="133" t="str">
        <f>Commodities!D17</f>
        <v>AGRWCH</v>
      </c>
      <c r="F10" s="178">
        <v>1</v>
      </c>
      <c r="G10" s="133">
        <v>50</v>
      </c>
      <c r="H10" s="240">
        <f ca="1">SUM(L9:L9)*0.5</f>
        <v>0</v>
      </c>
      <c r="I10" s="338">
        <f ca="1">SUM(M9:M9)*0.5</f>
        <v>0</v>
      </c>
      <c r="K10" s="176" t="str">
        <f>Agriculture!AL30</f>
        <v>WCH</v>
      </c>
      <c r="L10" s="332">
        <f t="shared" ca="1" si="0"/>
        <v>0</v>
      </c>
      <c r="M10" s="332">
        <f t="shared" ca="1" si="1"/>
        <v>0</v>
      </c>
      <c r="N10" s="24"/>
      <c r="O10" s="24"/>
      <c r="P10" s="24"/>
      <c r="Q10" s="24"/>
      <c r="R10" s="24"/>
      <c r="S10" s="24"/>
    </row>
    <row r="11" spans="2:19">
      <c r="B11" s="133" t="str">
        <f>Processes!D49</f>
        <v>FT-AGRBGA</v>
      </c>
      <c r="C11" s="133" t="str">
        <f>Processes!E49</f>
        <v>FT technology Agriculture BGA</v>
      </c>
      <c r="D11" s="133" t="str">
        <f t="shared" si="2"/>
        <v>BGA</v>
      </c>
      <c r="E11" s="133" t="str">
        <f>Commodities!D18</f>
        <v>AGRBGA</v>
      </c>
      <c r="F11" s="178">
        <v>1</v>
      </c>
      <c r="G11" s="133">
        <v>50</v>
      </c>
      <c r="H11" s="240">
        <f t="shared" ref="H11:I14" ca="1" si="3">SUM(L11:L11)</f>
        <v>0</v>
      </c>
      <c r="I11" s="338">
        <f t="shared" ca="1" si="3"/>
        <v>0</v>
      </c>
      <c r="K11" s="176" t="str">
        <f>Agriculture!AL31</f>
        <v>BGA</v>
      </c>
      <c r="L11" s="332">
        <f t="shared" ca="1" si="0"/>
        <v>0</v>
      </c>
      <c r="M11" s="332">
        <f t="shared" ca="1" si="1"/>
        <v>0</v>
      </c>
      <c r="N11" s="24"/>
      <c r="O11" s="24"/>
      <c r="P11" s="24"/>
      <c r="Q11" s="24"/>
      <c r="R11" s="24"/>
      <c r="S11" s="24"/>
    </row>
    <row r="12" spans="2:19">
      <c r="B12" s="133" t="str">
        <f>Processes!D50</f>
        <v>FT-AGRHFO</v>
      </c>
      <c r="C12" s="133" t="str">
        <f>Processes!E50</f>
        <v>FT technology Agriculture HFO</v>
      </c>
      <c r="D12" s="133" t="str">
        <f t="shared" si="2"/>
        <v>HFO</v>
      </c>
      <c r="E12" s="133" t="str">
        <f>Commodities!D19</f>
        <v>AGRHFO</v>
      </c>
      <c r="F12" s="178">
        <v>1</v>
      </c>
      <c r="G12" s="133">
        <v>50</v>
      </c>
      <c r="H12" s="240">
        <f t="shared" ca="1" si="3"/>
        <v>0</v>
      </c>
      <c r="I12" s="338">
        <f t="shared" ca="1" si="3"/>
        <v>0</v>
      </c>
      <c r="K12" s="176" t="str">
        <f>Agriculture!AL32</f>
        <v>HFO</v>
      </c>
      <c r="L12" s="332">
        <f t="shared" ca="1" si="0"/>
        <v>0</v>
      </c>
      <c r="M12" s="332">
        <f t="shared" ca="1" si="1"/>
        <v>0</v>
      </c>
      <c r="N12" s="24"/>
      <c r="O12" s="24"/>
      <c r="P12" s="24"/>
      <c r="Q12" s="24"/>
      <c r="R12" s="24"/>
      <c r="S12" s="24"/>
    </row>
    <row r="13" spans="2:19">
      <c r="B13" s="133" t="str">
        <f>Processes!D51</f>
        <v>FT-AGRLPG</v>
      </c>
      <c r="C13" s="133" t="str">
        <f>Processes!E51</f>
        <v>FT technology Agriculture LPG</v>
      </c>
      <c r="D13" s="133" t="str">
        <f t="shared" si="2"/>
        <v>LPG</v>
      </c>
      <c r="E13" s="133" t="str">
        <f>Commodities!D20</f>
        <v>AGRLPG</v>
      </c>
      <c r="F13" s="178">
        <v>1</v>
      </c>
      <c r="G13" s="157">
        <v>50</v>
      </c>
      <c r="H13" s="240">
        <f t="shared" ca="1" si="3"/>
        <v>0</v>
      </c>
      <c r="I13" s="338">
        <f t="shared" ca="1" si="3"/>
        <v>0</v>
      </c>
      <c r="K13" s="176" t="str">
        <f>Agriculture!AL33</f>
        <v>LPG</v>
      </c>
      <c r="L13" s="332">
        <f t="shared" ca="1" si="0"/>
        <v>0</v>
      </c>
      <c r="M13" s="332">
        <f t="shared" ca="1" si="1"/>
        <v>0</v>
      </c>
      <c r="N13" s="24"/>
      <c r="O13" s="24"/>
      <c r="P13" s="24"/>
      <c r="Q13" s="24"/>
      <c r="R13" s="24"/>
      <c r="S13" s="24"/>
    </row>
    <row r="14" spans="2:19">
      <c r="B14" s="133" t="str">
        <f>Processes!D52</f>
        <v>FT-AGRWST</v>
      </c>
      <c r="C14" s="133" t="str">
        <f>Processes!E52</f>
        <v>FT technology Agriculture WST</v>
      </c>
      <c r="D14" s="133" t="str">
        <f t="shared" si="2"/>
        <v>WST</v>
      </c>
      <c r="E14" s="133" t="str">
        <f>Commodities!D21</f>
        <v>AGRWST</v>
      </c>
      <c r="F14" s="178">
        <v>1</v>
      </c>
      <c r="G14" s="157">
        <v>50</v>
      </c>
      <c r="H14" s="240">
        <f t="shared" ca="1" si="3"/>
        <v>0</v>
      </c>
      <c r="I14" s="338">
        <f t="shared" ca="1" si="3"/>
        <v>0</v>
      </c>
      <c r="K14" s="176" t="str">
        <f>Agriculture!AL34</f>
        <v>WST</v>
      </c>
      <c r="L14" s="332">
        <f t="shared" ca="1" si="0"/>
        <v>0</v>
      </c>
      <c r="M14" s="332">
        <f t="shared" ca="1" si="1"/>
        <v>0</v>
      </c>
      <c r="N14" s="24"/>
      <c r="O14" s="24"/>
      <c r="P14" s="24"/>
      <c r="Q14" s="24"/>
      <c r="R14" s="24"/>
      <c r="S14" s="24"/>
    </row>
    <row r="15" spans="2:19">
      <c r="B15" s="133" t="str">
        <f>Processes!D53</f>
        <v>FT-AGRHCE</v>
      </c>
      <c r="C15" s="133" t="str">
        <f>Processes!E53</f>
        <v>FT technology Agriculture HCE</v>
      </c>
      <c r="D15" s="133" t="s">
        <v>251</v>
      </c>
      <c r="E15" s="133" t="str">
        <f>Commodities!D22</f>
        <v>AGRHCE</v>
      </c>
      <c r="F15" s="178">
        <v>1</v>
      </c>
      <c r="G15" s="157">
        <v>50</v>
      </c>
      <c r="H15" s="240">
        <f ca="1">SUM(L15:L15)*0.4</f>
        <v>0</v>
      </c>
      <c r="I15" s="338">
        <f ca="1">SUM(M15:M15)*0.4</f>
        <v>0</v>
      </c>
      <c r="K15" s="176" t="str">
        <f>Agriculture!AL35</f>
        <v>HCE</v>
      </c>
      <c r="L15" s="332">
        <f t="shared" ca="1" si="0"/>
        <v>0</v>
      </c>
      <c r="M15" s="332">
        <f t="shared" ca="1" si="1"/>
        <v>0</v>
      </c>
      <c r="N15" s="24"/>
      <c r="O15" s="24"/>
      <c r="P15" s="24"/>
      <c r="Q15" s="24"/>
      <c r="R15" s="24"/>
      <c r="S15" s="24"/>
    </row>
    <row r="16" spans="2:19" s="257" customFormat="1">
      <c r="B16" s="133" t="str">
        <f>Processes!D54</f>
        <v>FT-AGRHSE</v>
      </c>
      <c r="C16" s="133" t="str">
        <f>Processes!E54</f>
        <v>FT technology Agriculture HSE</v>
      </c>
      <c r="D16" s="133" t="s">
        <v>427</v>
      </c>
      <c r="E16" s="133" t="str">
        <f>Commodities!D23</f>
        <v>AGRHSE</v>
      </c>
      <c r="F16" s="178">
        <v>1</v>
      </c>
      <c r="G16" s="157">
        <v>50</v>
      </c>
      <c r="H16" s="338"/>
      <c r="I16" s="338"/>
      <c r="K16" s="176"/>
      <c r="L16" s="332"/>
      <c r="M16" s="332"/>
    </row>
    <row r="17" spans="1:35">
      <c r="B17" s="157" t="str">
        <f>Processes!D55</f>
        <v>FT-AGRHDE</v>
      </c>
      <c r="C17" s="157" t="str">
        <f>Processes!E55</f>
        <v>FT technology Agriculture HDE</v>
      </c>
      <c r="D17" s="133" t="s">
        <v>252</v>
      </c>
      <c r="E17" s="157" t="str">
        <f>Commodities!D24</f>
        <v>AGRHDE</v>
      </c>
      <c r="F17" s="550">
        <v>1</v>
      </c>
      <c r="G17" s="157">
        <v>50</v>
      </c>
      <c r="H17" s="240">
        <f ca="1">SUM(L15:L15)*0.6</f>
        <v>0</v>
      </c>
      <c r="I17" s="338">
        <f ca="1">SUM(M15:M15)*0.6</f>
        <v>0</v>
      </c>
      <c r="K17" s="176" t="str">
        <f>Agriculture!AL36</f>
        <v>HDE</v>
      </c>
      <c r="L17" s="332">
        <f t="shared" ca="1" si="0"/>
        <v>0</v>
      </c>
      <c r="M17" s="332">
        <f t="shared" ca="1" si="1"/>
        <v>0</v>
      </c>
      <c r="N17" s="24"/>
      <c r="O17" s="24"/>
      <c r="P17" s="24"/>
      <c r="Q17" s="24"/>
      <c r="R17" s="24"/>
      <c r="S17" s="24"/>
    </row>
    <row r="18" spans="1:35" s="40" customFormat="1">
      <c r="A18" s="24"/>
      <c r="B18" s="133" t="str">
        <f>Processes!D56</f>
        <v>FT-AGRELC</v>
      </c>
      <c r="C18" s="133" t="str">
        <f>Processes!E56</f>
        <v>FT technology Agriculture ELC</v>
      </c>
      <c r="D18" s="133" t="s">
        <v>422</v>
      </c>
      <c r="E18" s="133" t="str">
        <f>Commodities!D25</f>
        <v>AGRELC</v>
      </c>
      <c r="F18" s="178">
        <v>1</v>
      </c>
      <c r="G18" s="157">
        <v>50</v>
      </c>
      <c r="H18" s="334">
        <f ca="1">SUM(L18:L18)</f>
        <v>0</v>
      </c>
      <c r="I18" s="334">
        <f ca="1">SUM(M18:M18)</f>
        <v>0</v>
      </c>
      <c r="J18" s="24"/>
      <c r="K18" s="177" t="str">
        <f>Agriculture!AL37</f>
        <v>ELC</v>
      </c>
      <c r="L18" s="333">
        <f t="shared" ca="1" si="0"/>
        <v>0</v>
      </c>
      <c r="M18" s="333">
        <f t="shared" ca="1" si="1"/>
        <v>0</v>
      </c>
    </row>
    <row r="19" spans="1:35">
      <c r="B19" s="157" t="str">
        <f>Processes!D57</f>
        <v>FT-AGRSOL</v>
      </c>
      <c r="C19" s="157" t="str">
        <f>Processes!E57</f>
        <v>FT technology Agriculture SOL</v>
      </c>
      <c r="D19" s="133" t="str">
        <f t="shared" si="2"/>
        <v>SOL</v>
      </c>
      <c r="E19" s="157" t="str">
        <f>Commodities!D26</f>
        <v>AGRSOL</v>
      </c>
      <c r="F19" s="178">
        <v>1</v>
      </c>
      <c r="G19" s="157">
        <v>50</v>
      </c>
      <c r="H19" s="240"/>
      <c r="I19" s="240"/>
      <c r="K19" s="28"/>
      <c r="L19" s="168"/>
      <c r="V19" s="168"/>
    </row>
    <row r="20" spans="1:35">
      <c r="B20" s="157" t="str">
        <f>Processes!D58</f>
        <v>FT-AGRDSB1</v>
      </c>
      <c r="C20" s="157" t="str">
        <f>Processes!E58</f>
        <v>FT technology Agriculture DSB1</v>
      </c>
      <c r="D20" s="133" t="str">
        <f t="shared" si="2"/>
        <v>DSB1</v>
      </c>
      <c r="E20" s="157" t="str">
        <f>Commodities!D27</f>
        <v>AGRDSB1</v>
      </c>
      <c r="F20" s="178">
        <v>1</v>
      </c>
      <c r="G20" s="157">
        <v>50</v>
      </c>
      <c r="H20" s="240"/>
      <c r="I20" s="240"/>
    </row>
    <row r="21" spans="1:35">
      <c r="B21" s="157" t="str">
        <f>Processes!D59</f>
        <v>FT-AGRDSB2</v>
      </c>
      <c r="C21" s="157" t="str">
        <f>Processes!E59</f>
        <v>FT technology Agriculture DSB2</v>
      </c>
      <c r="D21" s="133" t="str">
        <f t="shared" si="2"/>
        <v>DSB2</v>
      </c>
      <c r="E21" s="157" t="str">
        <f>Commodities!D28</f>
        <v>AGRDSB2</v>
      </c>
      <c r="F21" s="178">
        <v>1</v>
      </c>
      <c r="G21" s="157">
        <v>50</v>
      </c>
      <c r="H21" s="240"/>
      <c r="I21" s="240"/>
    </row>
    <row r="22" spans="1:35">
      <c r="B22" s="157" t="str">
        <f>Processes!D60</f>
        <v>FT-AGRSNG1</v>
      </c>
      <c r="C22" s="157" t="str">
        <f>Processes!E60</f>
        <v>FT technology Agriculture SNG1</v>
      </c>
      <c r="D22" s="133" t="str">
        <f t="shared" si="2"/>
        <v>SNG1</v>
      </c>
      <c r="E22" s="157" t="str">
        <f>Commodities!D29</f>
        <v>AGRSNG1</v>
      </c>
      <c r="F22" s="178">
        <v>1</v>
      </c>
      <c r="G22" s="157">
        <v>50</v>
      </c>
      <c r="H22" s="240"/>
      <c r="I22" s="240"/>
      <c r="L22" s="24">
        <f ca="1">+SUMIFS(INDIRECT(L$5&amp;"!AF$31:AF$65"),INDIRECT(L$5&amp;"!$AD$31:$AD$65"),   $K9)</f>
        <v>0</v>
      </c>
    </row>
    <row r="23" spans="1:35">
      <c r="B23" s="157" t="str">
        <f>Processes!D61</f>
        <v>FT-AGRSNG2</v>
      </c>
      <c r="C23" s="157" t="str">
        <f>Processes!E61</f>
        <v>FT technology Agriculture SNG2</v>
      </c>
      <c r="D23" s="133" t="str">
        <f t="shared" si="2"/>
        <v>SNG2</v>
      </c>
      <c r="E23" s="157" t="str">
        <f>Commodities!D30</f>
        <v>AGRSNG2</v>
      </c>
      <c r="F23" s="178">
        <v>1</v>
      </c>
      <c r="G23" s="157">
        <v>50</v>
      </c>
      <c r="H23" s="240"/>
      <c r="I23" s="240"/>
      <c r="X23" s="217"/>
      <c r="Y23" s="217"/>
      <c r="Z23" s="217"/>
      <c r="AA23" s="217"/>
      <c r="AB23" s="217"/>
      <c r="AC23" s="217"/>
      <c r="AD23" s="217"/>
      <c r="AE23" s="217"/>
      <c r="AF23" s="217"/>
      <c r="AG23" s="217"/>
      <c r="AH23" s="217"/>
      <c r="AI23" s="217"/>
    </row>
    <row r="24" spans="1:35">
      <c r="B24" s="157" t="str">
        <f>Processes!D62</f>
        <v>FT-AGRGSL</v>
      </c>
      <c r="C24" s="157" t="str">
        <f>Processes!E62</f>
        <v>FT technology Agriculture GSL</v>
      </c>
      <c r="D24" s="133" t="str">
        <f>VLOOKUP(MID(B24,7,99),$K$26:$L$45,2,FALSE)</f>
        <v>GSL</v>
      </c>
      <c r="E24" s="157" t="str">
        <f>Commodities!D31</f>
        <v>AGRGSL</v>
      </c>
      <c r="F24" s="178">
        <v>1</v>
      </c>
      <c r="G24" s="157">
        <v>50</v>
      </c>
      <c r="H24" s="218"/>
      <c r="I24" s="218"/>
      <c r="N24" s="24"/>
      <c r="X24" s="217"/>
      <c r="Y24" s="217"/>
      <c r="Z24" s="217"/>
      <c r="AA24" s="217"/>
      <c r="AB24" s="217"/>
      <c r="AC24" s="217"/>
      <c r="AD24" s="217"/>
      <c r="AE24" s="217"/>
      <c r="AF24" s="217"/>
      <c r="AG24" s="217"/>
      <c r="AH24" s="217"/>
      <c r="AI24" s="217"/>
    </row>
    <row r="25" spans="1:35">
      <c r="B25" s="157" t="str">
        <f>Processes!D63</f>
        <v>FT-AGRGSB1</v>
      </c>
      <c r="C25" s="157" t="str">
        <f>Processes!E63</f>
        <v>FT technology Agriculture GSB1</v>
      </c>
      <c r="D25" s="133" t="str">
        <f t="shared" si="2"/>
        <v>GSB1</v>
      </c>
      <c r="E25" s="157" t="str">
        <f>Commodities!D32</f>
        <v>AGRGSB1</v>
      </c>
      <c r="F25" s="178">
        <v>1</v>
      </c>
      <c r="G25" s="157">
        <v>50</v>
      </c>
      <c r="H25" s="218"/>
      <c r="I25" s="218"/>
      <c r="K25" s="91" t="s">
        <v>2</v>
      </c>
      <c r="L25" s="91" t="s">
        <v>14</v>
      </c>
      <c r="X25" s="217"/>
      <c r="Y25" s="217"/>
      <c r="Z25" s="217"/>
      <c r="AA25" s="217"/>
      <c r="AB25" s="217"/>
      <c r="AC25" s="217"/>
      <c r="AD25" s="217"/>
      <c r="AE25" s="217"/>
      <c r="AF25" s="217"/>
      <c r="AG25" s="217"/>
      <c r="AH25" s="217"/>
      <c r="AI25" s="217"/>
    </row>
    <row r="26" spans="1:35">
      <c r="B26" s="135" t="str">
        <f>Processes!D64</f>
        <v>FT-AGRGSB2</v>
      </c>
      <c r="C26" s="135" t="str">
        <f>Processes!E64</f>
        <v>FT technology Agriculture GSB2</v>
      </c>
      <c r="D26" s="135" t="str">
        <f t="shared" si="2"/>
        <v>GSB2</v>
      </c>
      <c r="E26" s="135" t="str">
        <f>Commodities!D33</f>
        <v>AGRGSB2</v>
      </c>
      <c r="F26" s="210">
        <v>1</v>
      </c>
      <c r="G26" s="135">
        <v>50</v>
      </c>
      <c r="H26" s="218"/>
      <c r="I26" s="218"/>
      <c r="K26" s="93" t="s">
        <v>97</v>
      </c>
      <c r="L26" s="93" t="str">
        <f>+K26</f>
        <v>NGA</v>
      </c>
      <c r="X26" s="217"/>
      <c r="Y26" s="217"/>
      <c r="Z26" s="217"/>
      <c r="AA26" s="217"/>
      <c r="AB26" s="217"/>
      <c r="AC26" s="217"/>
      <c r="AD26" s="217"/>
      <c r="AE26" s="217"/>
      <c r="AF26" s="217"/>
      <c r="AG26" s="217"/>
      <c r="AH26" s="217"/>
      <c r="AI26" s="217"/>
    </row>
    <row r="27" spans="1:35">
      <c r="B27" s="135" t="str">
        <f>Processes!D65</f>
        <v>FT-AGRH2</v>
      </c>
      <c r="C27" s="135" t="str">
        <f>Processes!E65</f>
        <v>FT technology Agriculture H2</v>
      </c>
      <c r="D27" s="24" t="s">
        <v>305</v>
      </c>
      <c r="E27" s="135" t="str">
        <f>Commodities!D34</f>
        <v>AGRH2</v>
      </c>
      <c r="F27" s="24">
        <f>F26</f>
        <v>1</v>
      </c>
      <c r="G27" s="257">
        <f>G26</f>
        <v>50</v>
      </c>
      <c r="K27" s="93" t="s">
        <v>98</v>
      </c>
      <c r="L27" s="93" t="str">
        <f t="shared" ref="L27:L34" si="4">+K27</f>
        <v>COA</v>
      </c>
      <c r="X27" s="217"/>
      <c r="Y27" s="217"/>
      <c r="Z27" s="217"/>
      <c r="AA27" s="217"/>
      <c r="AB27" s="217"/>
      <c r="AC27" s="217"/>
      <c r="AD27" s="217"/>
      <c r="AE27" s="217"/>
      <c r="AF27" s="217"/>
      <c r="AG27" s="217"/>
      <c r="AH27" s="217"/>
      <c r="AI27" s="217"/>
    </row>
    <row r="28" spans="1:35">
      <c r="B28" s="24" t="s">
        <v>439</v>
      </c>
      <c r="C28" s="24" t="s">
        <v>440</v>
      </c>
      <c r="D28" s="24" t="s">
        <v>94</v>
      </c>
      <c r="E28" s="24" t="s">
        <v>131</v>
      </c>
      <c r="F28" s="24">
        <v>1</v>
      </c>
      <c r="G28" s="24">
        <v>50</v>
      </c>
      <c r="K28" s="93" t="s">
        <v>59</v>
      </c>
      <c r="L28" s="93" t="str">
        <f t="shared" si="4"/>
        <v>DSL</v>
      </c>
      <c r="X28" s="217"/>
      <c r="Y28" s="217"/>
      <c r="Z28" s="217"/>
      <c r="AA28" s="217"/>
      <c r="AB28" s="217"/>
      <c r="AC28" s="217"/>
      <c r="AD28" s="217"/>
      <c r="AE28" s="217"/>
      <c r="AF28" s="217"/>
      <c r="AG28" s="217"/>
      <c r="AH28" s="217"/>
      <c r="AI28" s="217"/>
    </row>
    <row r="29" spans="1:35">
      <c r="H29" s="349"/>
      <c r="K29" s="93" t="s">
        <v>99</v>
      </c>
      <c r="L29" s="93" t="str">
        <f t="shared" si="4"/>
        <v>WPE</v>
      </c>
      <c r="X29" s="217"/>
      <c r="Y29" s="217"/>
      <c r="Z29" s="217"/>
      <c r="AA29" s="217"/>
      <c r="AB29" s="217"/>
      <c r="AC29" s="217"/>
      <c r="AD29" s="217"/>
      <c r="AE29" s="217"/>
      <c r="AF29" s="217"/>
      <c r="AG29" s="217"/>
      <c r="AH29" s="217"/>
      <c r="AI29" s="217"/>
    </row>
    <row r="30" spans="1:35">
      <c r="H30" s="349"/>
      <c r="K30" s="93" t="s">
        <v>106</v>
      </c>
      <c r="L30" s="93" t="str">
        <f t="shared" si="4"/>
        <v>WCH</v>
      </c>
      <c r="X30" s="217"/>
      <c r="Y30" s="217"/>
      <c r="Z30" s="217"/>
      <c r="AA30" s="217"/>
      <c r="AB30" s="217"/>
      <c r="AC30" s="217"/>
      <c r="AD30" s="217"/>
      <c r="AE30" s="217"/>
      <c r="AF30" s="217"/>
      <c r="AG30" s="217"/>
      <c r="AH30" s="217"/>
      <c r="AI30" s="217"/>
    </row>
    <row r="31" spans="1:35">
      <c r="C31" s="167"/>
      <c r="D31" s="167"/>
      <c r="E31" s="167"/>
      <c r="H31" s="349"/>
      <c r="K31" s="93" t="s">
        <v>100</v>
      </c>
      <c r="L31" s="93" t="str">
        <f t="shared" si="4"/>
        <v>BGA</v>
      </c>
      <c r="X31" s="217"/>
      <c r="Y31" s="217"/>
      <c r="Z31" s="217"/>
      <c r="AA31" s="217"/>
      <c r="AB31" s="217"/>
      <c r="AC31" s="217"/>
      <c r="AD31" s="217"/>
      <c r="AE31" s="217"/>
      <c r="AF31" s="217"/>
      <c r="AG31" s="217"/>
      <c r="AH31" s="217"/>
      <c r="AI31" s="217"/>
    </row>
    <row r="32" spans="1:35">
      <c r="H32" s="349"/>
      <c r="K32" s="93" t="s">
        <v>101</v>
      </c>
      <c r="L32" s="93" t="str">
        <f t="shared" si="4"/>
        <v>HFO</v>
      </c>
      <c r="X32" s="217"/>
      <c r="Y32" s="217"/>
      <c r="Z32" s="217"/>
      <c r="AA32" s="217"/>
      <c r="AB32" s="217"/>
      <c r="AC32" s="217"/>
      <c r="AD32" s="217"/>
      <c r="AE32" s="217"/>
      <c r="AF32" s="217"/>
      <c r="AG32" s="217"/>
      <c r="AH32" s="217"/>
      <c r="AI32" s="217"/>
    </row>
    <row r="33" spans="3:16">
      <c r="C33" s="166"/>
      <c r="D33" s="166"/>
      <c r="E33" s="166"/>
      <c r="H33" s="349"/>
      <c r="K33" s="93" t="s">
        <v>53</v>
      </c>
      <c r="L33" s="93" t="str">
        <f t="shared" si="4"/>
        <v>LPG</v>
      </c>
    </row>
    <row r="34" spans="3:16">
      <c r="H34" s="349"/>
      <c r="K34" s="93" t="s">
        <v>102</v>
      </c>
      <c r="L34" s="93" t="str">
        <f t="shared" si="4"/>
        <v>WST</v>
      </c>
    </row>
    <row r="35" spans="3:16">
      <c r="H35" s="349"/>
      <c r="K35" s="93" t="s">
        <v>103</v>
      </c>
      <c r="L35" s="190" t="s">
        <v>47</v>
      </c>
      <c r="N35" s="28" t="s">
        <v>251</v>
      </c>
      <c r="O35" s="190" t="s">
        <v>47</v>
      </c>
      <c r="P35" s="190" t="s">
        <v>251</v>
      </c>
    </row>
    <row r="36" spans="3:16">
      <c r="H36" s="349"/>
      <c r="K36" s="93" t="s">
        <v>104</v>
      </c>
      <c r="L36" s="190" t="s">
        <v>48</v>
      </c>
      <c r="O36" s="190" t="s">
        <v>48</v>
      </c>
      <c r="P36" s="190" t="s">
        <v>252</v>
      </c>
    </row>
    <row r="37" spans="3:16">
      <c r="H37" s="349"/>
      <c r="K37" s="93" t="s">
        <v>61</v>
      </c>
      <c r="L37" s="190" t="s">
        <v>112</v>
      </c>
    </row>
    <row r="38" spans="3:16">
      <c r="H38" s="349"/>
      <c r="K38" s="93" t="s">
        <v>183</v>
      </c>
      <c r="L38" s="93" t="str">
        <f t="shared" ref="L38:L45" si="5">+K38</f>
        <v>SOL</v>
      </c>
    </row>
    <row r="39" spans="3:16">
      <c r="H39" s="349"/>
      <c r="K39" s="93" t="s">
        <v>184</v>
      </c>
      <c r="L39" s="93" t="str">
        <f t="shared" si="5"/>
        <v>DSB1</v>
      </c>
    </row>
    <row r="40" spans="3:16">
      <c r="H40" s="349"/>
      <c r="K40" s="93" t="s">
        <v>185</v>
      </c>
      <c r="L40" s="93" t="str">
        <f t="shared" si="5"/>
        <v>DSB2</v>
      </c>
    </row>
    <row r="41" spans="3:16">
      <c r="H41" s="257"/>
      <c r="K41" s="93" t="s">
        <v>186</v>
      </c>
      <c r="L41" s="93" t="str">
        <f t="shared" si="5"/>
        <v>SNG1</v>
      </c>
    </row>
    <row r="42" spans="3:16">
      <c r="H42" s="257"/>
      <c r="K42" s="93" t="s">
        <v>187</v>
      </c>
      <c r="L42" s="93" t="str">
        <f t="shared" si="5"/>
        <v>SNG2</v>
      </c>
    </row>
    <row r="43" spans="3:16">
      <c r="K43" s="93" t="s">
        <v>214</v>
      </c>
      <c r="L43" s="93" t="str">
        <f t="shared" si="5"/>
        <v>GSL</v>
      </c>
    </row>
    <row r="44" spans="3:16">
      <c r="K44" s="93" t="s">
        <v>198</v>
      </c>
      <c r="L44" s="93" t="str">
        <f t="shared" si="5"/>
        <v>GSB1</v>
      </c>
    </row>
    <row r="45" spans="3:16">
      <c r="K45" s="93" t="s">
        <v>199</v>
      </c>
      <c r="L45" s="93" t="str">
        <f t="shared" si="5"/>
        <v>GSB2</v>
      </c>
    </row>
    <row r="65" spans="17:22">
      <c r="Q65" s="310">
        <f>M157</f>
        <v>0</v>
      </c>
      <c r="R65" s="311">
        <f>Q65</f>
        <v>0</v>
      </c>
      <c r="S65" s="294">
        <f t="shared" ref="S65:S68" si="6">3.6*8760/1000000</f>
        <v>3.1536000000000002E-2</v>
      </c>
      <c r="T65" s="299">
        <f>$T$32</f>
        <v>0</v>
      </c>
      <c r="U65" s="302">
        <f>T65*(1+$V$29)</f>
        <v>0</v>
      </c>
      <c r="V65" s="298">
        <v>20</v>
      </c>
    </row>
    <row r="66" spans="17:22">
      <c r="Q66" s="308">
        <f>M158</f>
        <v>0</v>
      </c>
      <c r="R66" s="309">
        <f>Q66</f>
        <v>0</v>
      </c>
      <c r="S66" s="287">
        <f t="shared" si="6"/>
        <v>3.1536000000000002E-2</v>
      </c>
      <c r="T66" s="299">
        <f>$T$32</f>
        <v>0</v>
      </c>
      <c r="U66" s="300">
        <f>T66*(1+$V$29)</f>
        <v>0</v>
      </c>
      <c r="V66" s="296">
        <v>20</v>
      </c>
    </row>
    <row r="67" spans="17:22">
      <c r="Q67" s="310">
        <v>1</v>
      </c>
      <c r="R67" s="311">
        <f t="shared" ref="R67:R68" si="7">Q67</f>
        <v>1</v>
      </c>
      <c r="S67" s="294">
        <f t="shared" si="6"/>
        <v>3.1536000000000002E-2</v>
      </c>
      <c r="T67" s="302">
        <v>0.5</v>
      </c>
      <c r="U67" s="302">
        <f>T67*(1+$V$29)</f>
        <v>0.5</v>
      </c>
      <c r="V67" s="298">
        <v>20</v>
      </c>
    </row>
    <row r="68" spans="17:22">
      <c r="Q68" s="306">
        <v>1</v>
      </c>
      <c r="R68" s="307">
        <f t="shared" si="7"/>
        <v>1</v>
      </c>
      <c r="S68" s="293">
        <f t="shared" si="6"/>
        <v>3.1536000000000002E-2</v>
      </c>
      <c r="T68" s="301">
        <f>$T$67</f>
        <v>0.5</v>
      </c>
      <c r="U68" s="301">
        <f>T68*(1+$V$29)</f>
        <v>0.5</v>
      </c>
      <c r="V68" s="297">
        <v>20</v>
      </c>
    </row>
  </sheetData>
  <conditionalFormatting sqref="O2">
    <cfRule type="cellIs" dxfId="0" priority="1" operator="notEqual">
      <formula>"Ok"</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rgb="FF92D050"/>
  </sheetPr>
  <dimension ref="A2:W45"/>
  <sheetViews>
    <sheetView showGridLines="0" zoomScaleNormal="100" workbookViewId="0">
      <selection activeCell="J32" sqref="J32"/>
    </sheetView>
  </sheetViews>
  <sheetFormatPr baseColWidth="10" defaultColWidth="9.1640625" defaultRowHeight="14"/>
  <cols>
    <col min="1" max="1" width="9.1640625" style="24"/>
    <col min="2" max="2" width="38.5" style="24" customWidth="1"/>
    <col min="3" max="3" width="11.6640625" style="24" bestFit="1" customWidth="1"/>
    <col min="4" max="4" width="8.1640625" style="24" bestFit="1" customWidth="1"/>
    <col min="5" max="5" width="7.6640625" style="24" bestFit="1" customWidth="1"/>
    <col min="6" max="6" width="12.33203125" style="24" bestFit="1" customWidth="1"/>
    <col min="7" max="7" width="7.83203125" style="24" bestFit="1" customWidth="1"/>
    <col min="8" max="8" width="8.33203125" style="24" bestFit="1" customWidth="1"/>
    <col min="9" max="12" width="9.1640625" style="24"/>
    <col min="13" max="13" width="21.83203125" style="24" bestFit="1" customWidth="1"/>
    <col min="14" max="16384" width="9.1640625" style="24"/>
  </cols>
  <sheetData>
    <row r="2" spans="1:11">
      <c r="B2" s="23" t="s">
        <v>65</v>
      </c>
    </row>
    <row r="4" spans="1:11">
      <c r="B4" s="25" t="s">
        <v>66</v>
      </c>
    </row>
    <row r="5" spans="1:11">
      <c r="B5" s="23" t="s">
        <v>67</v>
      </c>
    </row>
    <row r="6" spans="1:11">
      <c r="A6" s="375"/>
      <c r="B6" s="375"/>
      <c r="C6" s="375"/>
      <c r="D6" s="376"/>
      <c r="E6" s="377"/>
      <c r="F6" s="376"/>
      <c r="G6" s="377"/>
      <c r="H6" s="378"/>
      <c r="I6" s="377"/>
      <c r="J6" s="375"/>
      <c r="K6" s="375"/>
    </row>
    <row r="7" spans="1:11">
      <c r="A7" s="375"/>
      <c r="B7" s="380" t="s">
        <v>303</v>
      </c>
      <c r="C7" s="381"/>
      <c r="D7" s="381"/>
      <c r="E7" s="342"/>
      <c r="F7" s="342"/>
      <c r="G7" s="342"/>
      <c r="H7" s="342"/>
      <c r="I7" s="375"/>
      <c r="J7" s="375"/>
      <c r="K7" s="375"/>
    </row>
    <row r="8" spans="1:11" ht="15">
      <c r="A8" s="375"/>
      <c r="B8" s="382" t="s">
        <v>4</v>
      </c>
      <c r="C8" s="169" t="str">
        <f>Commodities!D13</f>
        <v>AGRNGA</v>
      </c>
      <c r="D8" s="169" t="str">
        <f>Commodities!D14</f>
        <v>AGRCOA</v>
      </c>
      <c r="E8" s="169" t="str">
        <f>Commodities!D15</f>
        <v>AGRDSL</v>
      </c>
      <c r="F8" s="169" t="str">
        <f>Commodities!D19</f>
        <v>AGRHFO</v>
      </c>
      <c r="G8" s="169" t="str">
        <f>Commodities!D20</f>
        <v>AGRLPG</v>
      </c>
      <c r="H8" s="169" t="str">
        <f>Commodities!D21</f>
        <v>AGRWST</v>
      </c>
      <c r="I8" s="375"/>
      <c r="J8" s="375"/>
      <c r="K8" s="375"/>
    </row>
    <row r="9" spans="1:11" ht="16" thickBot="1">
      <c r="A9" s="375"/>
      <c r="B9" s="383" t="s">
        <v>70</v>
      </c>
      <c r="C9" s="384" t="s">
        <v>71</v>
      </c>
      <c r="D9" s="384" t="s">
        <v>71</v>
      </c>
      <c r="E9" s="384" t="s">
        <v>71</v>
      </c>
      <c r="F9" s="384" t="s">
        <v>71</v>
      </c>
      <c r="G9" s="384" t="s">
        <v>71</v>
      </c>
      <c r="H9" s="384" t="s">
        <v>71</v>
      </c>
      <c r="I9" s="375"/>
      <c r="J9" s="375"/>
      <c r="K9" s="375"/>
    </row>
    <row r="10" spans="1:11">
      <c r="A10" s="375"/>
      <c r="B10" s="257" t="str">
        <f>Commodities!D36</f>
        <v>AGRCO2</v>
      </c>
      <c r="C10" s="188">
        <v>56.97</v>
      </c>
      <c r="D10" s="189">
        <v>94.6</v>
      </c>
      <c r="E10" s="188">
        <v>74</v>
      </c>
      <c r="F10" s="189">
        <v>79.2</v>
      </c>
      <c r="G10" s="187">
        <v>63.1</v>
      </c>
      <c r="H10" s="189">
        <v>37</v>
      </c>
      <c r="I10" s="375"/>
      <c r="J10" s="375"/>
      <c r="K10" s="375"/>
    </row>
    <row r="11" spans="1:11">
      <c r="A11" s="375"/>
      <c r="B11" s="375"/>
      <c r="C11" s="375"/>
      <c r="D11" s="375"/>
      <c r="E11" s="375"/>
      <c r="F11" s="375"/>
      <c r="G11" s="375"/>
      <c r="H11" s="375"/>
      <c r="I11" s="375"/>
      <c r="J11" s="375"/>
      <c r="K11" s="375"/>
    </row>
    <row r="12" spans="1:11">
      <c r="A12" s="375"/>
      <c r="B12" s="375"/>
      <c r="C12" s="375"/>
      <c r="D12" s="375"/>
      <c r="E12" s="375"/>
      <c r="F12" s="375"/>
      <c r="G12" s="375"/>
      <c r="H12" s="375"/>
      <c r="I12" s="375"/>
      <c r="J12" s="375"/>
      <c r="K12" s="375"/>
    </row>
    <row r="13" spans="1:11">
      <c r="A13" s="375"/>
      <c r="B13" s="375"/>
      <c r="C13" s="375"/>
      <c r="D13" s="375"/>
      <c r="E13" s="375"/>
      <c r="F13" s="375"/>
      <c r="G13" s="375"/>
      <c r="H13" s="375"/>
      <c r="I13" s="375"/>
      <c r="J13" s="375"/>
      <c r="K13" s="375"/>
    </row>
    <row r="14" spans="1:11">
      <c r="A14" s="375"/>
      <c r="B14" s="375"/>
      <c r="C14" s="375"/>
      <c r="D14" s="375"/>
      <c r="E14" s="375"/>
      <c r="F14" s="375"/>
      <c r="G14" s="375"/>
      <c r="H14" s="375"/>
      <c r="I14" s="375"/>
      <c r="J14" s="375"/>
      <c r="K14" s="375"/>
    </row>
    <row r="15" spans="1:11">
      <c r="A15" s="375"/>
      <c r="B15" s="375"/>
      <c r="C15" s="375"/>
      <c r="D15" s="375"/>
      <c r="E15" s="375"/>
      <c r="F15" s="375"/>
      <c r="G15" s="375"/>
      <c r="H15" s="375"/>
      <c r="I15" s="375"/>
      <c r="J15" s="375"/>
      <c r="K15" s="375"/>
    </row>
    <row r="16" spans="1:11">
      <c r="A16" s="375"/>
      <c r="B16" s="375"/>
      <c r="C16" s="375"/>
      <c r="D16" s="375"/>
      <c r="E16" s="375"/>
      <c r="F16" s="375"/>
      <c r="G16" s="375"/>
      <c r="H16" s="375"/>
      <c r="I16" s="375"/>
      <c r="J16" s="375"/>
      <c r="K16" s="375"/>
    </row>
    <row r="17" spans="1:11">
      <c r="A17" s="375"/>
      <c r="B17" s="375"/>
      <c r="C17" s="375"/>
      <c r="D17" s="375"/>
      <c r="E17" s="375"/>
      <c r="F17" s="375"/>
      <c r="G17" s="375"/>
      <c r="H17" s="375"/>
      <c r="I17" s="375"/>
      <c r="J17" s="375"/>
      <c r="K17" s="375"/>
    </row>
    <row r="18" spans="1:11">
      <c r="A18" s="375"/>
      <c r="B18" s="375"/>
      <c r="C18" s="375"/>
      <c r="D18" s="375"/>
      <c r="E18" s="375"/>
      <c r="F18" s="375"/>
      <c r="G18" s="375"/>
      <c r="H18" s="375"/>
      <c r="I18" s="375"/>
      <c r="J18" s="375"/>
      <c r="K18" s="375"/>
    </row>
    <row r="19" spans="1:11">
      <c r="A19" s="375"/>
      <c r="B19" s="375"/>
      <c r="C19" s="375"/>
      <c r="D19" s="375"/>
      <c r="E19" s="375"/>
      <c r="F19" s="375"/>
      <c r="G19" s="375"/>
      <c r="H19" s="375"/>
      <c r="I19" s="375"/>
      <c r="J19" s="375"/>
      <c r="K19" s="375"/>
    </row>
    <row r="20" spans="1:11">
      <c r="A20" s="375"/>
      <c r="B20" s="375"/>
      <c r="C20" s="375"/>
      <c r="D20" s="375"/>
      <c r="E20" s="375"/>
      <c r="F20" s="375"/>
      <c r="G20" s="375"/>
      <c r="H20" s="375"/>
      <c r="I20" s="375"/>
      <c r="J20" s="375"/>
      <c r="K20" s="375"/>
    </row>
    <row r="21" spans="1:11">
      <c r="A21" s="375"/>
      <c r="B21" s="375"/>
      <c r="C21" s="375"/>
      <c r="D21" s="375"/>
      <c r="E21" s="375"/>
      <c r="F21" s="375"/>
      <c r="G21" s="375"/>
      <c r="H21" s="375"/>
      <c r="I21" s="375"/>
      <c r="J21" s="375"/>
      <c r="K21" s="375"/>
    </row>
    <row r="22" spans="1:11">
      <c r="A22" s="375"/>
      <c r="B22" s="375"/>
      <c r="C22" s="375"/>
      <c r="D22" s="375"/>
      <c r="E22" s="375"/>
      <c r="F22" s="375"/>
      <c r="G22" s="375"/>
      <c r="H22" s="375"/>
      <c r="I22" s="375"/>
      <c r="J22" s="375"/>
      <c r="K22" s="375"/>
    </row>
    <row r="23" spans="1:11">
      <c r="A23" s="375"/>
      <c r="B23" s="375"/>
      <c r="C23" s="375"/>
      <c r="D23" s="375"/>
      <c r="E23" s="375"/>
      <c r="F23" s="375"/>
      <c r="G23" s="375"/>
      <c r="H23" s="375"/>
      <c r="I23" s="375"/>
      <c r="J23" s="375"/>
      <c r="K23" s="375"/>
    </row>
    <row r="24" spans="1:11">
      <c r="A24" s="375"/>
      <c r="B24" s="375"/>
      <c r="C24" s="375"/>
      <c r="D24" s="375"/>
      <c r="E24" s="375"/>
      <c r="F24" s="375"/>
      <c r="G24" s="375"/>
      <c r="H24" s="375"/>
      <c r="I24" s="375"/>
      <c r="J24" s="375"/>
      <c r="K24" s="375"/>
    </row>
    <row r="25" spans="1:11">
      <c r="A25" s="375"/>
      <c r="B25" s="375"/>
      <c r="C25" s="375"/>
      <c r="D25" s="375"/>
      <c r="E25" s="375"/>
      <c r="F25" s="375"/>
      <c r="G25" s="375"/>
      <c r="H25" s="375"/>
      <c r="I25" s="375"/>
      <c r="J25" s="375"/>
      <c r="K25" s="375"/>
    </row>
    <row r="26" spans="1:11">
      <c r="A26" s="375"/>
      <c r="B26" s="375"/>
      <c r="C26" s="375"/>
      <c r="D26" s="375"/>
      <c r="E26" s="375"/>
      <c r="F26" s="375"/>
      <c r="G26" s="375"/>
      <c r="H26" s="375"/>
      <c r="I26" s="375"/>
      <c r="J26" s="375"/>
      <c r="K26" s="375"/>
    </row>
    <row r="39" spans="16:23">
      <c r="Q39" s="257"/>
      <c r="R39" s="257"/>
      <c r="S39" s="257"/>
      <c r="T39" s="257"/>
      <c r="U39" s="257"/>
      <c r="V39" s="257"/>
      <c r="W39" s="257"/>
    </row>
    <row r="40" spans="16:23">
      <c r="P40" s="257"/>
      <c r="Q40" s="257"/>
      <c r="R40" s="257"/>
      <c r="S40" s="257"/>
      <c r="T40" s="257"/>
      <c r="U40" s="257"/>
      <c r="V40" s="257"/>
      <c r="W40" s="257"/>
    </row>
    <row r="41" spans="16:23">
      <c r="P41" s="257"/>
      <c r="Q41" s="257"/>
      <c r="R41" s="257"/>
      <c r="S41" s="257"/>
      <c r="T41" s="257"/>
      <c r="U41" s="257"/>
      <c r="V41" s="257"/>
      <c r="W41" s="257"/>
    </row>
    <row r="42" spans="16:23">
      <c r="P42" s="257"/>
      <c r="Q42" s="257"/>
      <c r="R42" s="257"/>
      <c r="S42" s="257"/>
      <c r="T42" s="257"/>
      <c r="U42" s="257"/>
      <c r="V42" s="257"/>
      <c r="W42" s="257"/>
    </row>
    <row r="43" spans="16:23">
      <c r="P43" s="257"/>
      <c r="Q43" s="257"/>
      <c r="R43" s="257"/>
      <c r="S43" s="257"/>
      <c r="T43" s="257"/>
      <c r="U43" s="257"/>
      <c r="V43" s="257"/>
      <c r="W43" s="257"/>
    </row>
    <row r="44" spans="16:23">
      <c r="P44" s="257"/>
      <c r="Q44" s="257"/>
      <c r="R44" s="257"/>
      <c r="S44" s="257"/>
      <c r="T44" s="257"/>
      <c r="U44" s="257"/>
      <c r="V44" s="257"/>
      <c r="W44" s="257"/>
    </row>
    <row r="45" spans="16:23">
      <c r="P45" s="257"/>
      <c r="Q45" s="257"/>
      <c r="R45" s="257"/>
      <c r="S45" s="257"/>
      <c r="T45" s="257"/>
      <c r="U45" s="257"/>
      <c r="V45" s="257"/>
      <c r="W45" s="25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theme="4"/>
  </sheetPr>
  <dimension ref="B1:S62"/>
  <sheetViews>
    <sheetView showGridLines="0" zoomScale="120" zoomScaleNormal="120" workbookViewId="0">
      <selection activeCell="B5" sqref="B5:B18"/>
    </sheetView>
  </sheetViews>
  <sheetFormatPr baseColWidth="10" defaultColWidth="9.1640625" defaultRowHeight="12.75" customHeight="1"/>
  <cols>
    <col min="1" max="1" width="7.5" style="115" customWidth="1"/>
    <col min="2" max="2" width="14.6640625" style="115" bestFit="1" customWidth="1"/>
    <col min="3" max="11" width="10.5" style="115" customWidth="1"/>
    <col min="12" max="12" width="12.1640625" style="115" customWidth="1"/>
    <col min="13" max="13" width="10.5" style="115" customWidth="1"/>
    <col min="14" max="14" width="12.6640625" style="115" customWidth="1"/>
    <col min="15" max="15" width="9.1640625" style="115"/>
    <col min="16" max="16" width="12.33203125" style="115" customWidth="1"/>
    <col min="17" max="16384" width="9.1640625" style="115"/>
  </cols>
  <sheetData>
    <row r="1" spans="2:19" ht="12.75" customHeight="1">
      <c r="B1" s="24" t="s">
        <v>378</v>
      </c>
      <c r="C1" s="24"/>
      <c r="D1" s="24"/>
      <c r="F1" s="24"/>
      <c r="G1" s="24"/>
      <c r="H1" s="446" t="s">
        <v>377</v>
      </c>
      <c r="I1" s="24"/>
      <c r="J1" s="28"/>
      <c r="K1" s="24"/>
      <c r="L1" s="24"/>
      <c r="M1" s="24"/>
      <c r="N1" s="24"/>
      <c r="O1" s="24"/>
    </row>
    <row r="2" spans="2:19" ht="12.75" customHeight="1">
      <c r="B2" s="24"/>
      <c r="C2" s="24"/>
      <c r="D2" s="24"/>
      <c r="E2" s="24"/>
      <c r="F2" s="24"/>
      <c r="G2" s="24"/>
      <c r="H2" s="24"/>
      <c r="I2" s="105"/>
      <c r="J2" s="105"/>
      <c r="K2" s="105"/>
      <c r="L2" s="105"/>
      <c r="M2" s="105"/>
      <c r="N2" s="105"/>
    </row>
    <row r="3" spans="2:19" ht="12.75" customHeight="1">
      <c r="B3" s="104">
        <v>2010</v>
      </c>
      <c r="E3" s="24"/>
      <c r="F3" s="24"/>
      <c r="G3" s="24"/>
      <c r="I3" s="24"/>
      <c r="J3" s="24"/>
      <c r="L3" s="24"/>
      <c r="M3" s="24"/>
      <c r="N3" s="24"/>
      <c r="P3" s="115" t="s">
        <v>166</v>
      </c>
    </row>
    <row r="4" spans="2:19" ht="12.75" customHeight="1">
      <c r="B4" s="24" t="s">
        <v>379</v>
      </c>
      <c r="C4" s="108" t="s">
        <v>367</v>
      </c>
      <c r="D4" s="108" t="s">
        <v>349</v>
      </c>
      <c r="E4" s="108" t="s">
        <v>350</v>
      </c>
      <c r="F4" s="108" t="s">
        <v>351</v>
      </c>
      <c r="G4" s="108" t="s">
        <v>352</v>
      </c>
      <c r="H4" s="108" t="s">
        <v>260</v>
      </c>
      <c r="I4" s="108" t="s">
        <v>353</v>
      </c>
      <c r="J4" s="108" t="s">
        <v>354</v>
      </c>
      <c r="K4" s="108" t="s">
        <v>355</v>
      </c>
      <c r="L4" s="108" t="s">
        <v>356</v>
      </c>
      <c r="M4" s="108" t="s">
        <v>357</v>
      </c>
      <c r="N4" s="108" t="s">
        <v>215</v>
      </c>
      <c r="O4" s="108" t="s">
        <v>358</v>
      </c>
      <c r="P4" s="109" t="s">
        <v>57</v>
      </c>
    </row>
    <row r="5" spans="2:19" ht="12.75" customHeight="1">
      <c r="B5" s="116" t="s">
        <v>55</v>
      </c>
      <c r="C5" s="107">
        <f>_xlfn.IFNA(INDEX('2010'!$C$6:$R$55,MATCH(C$4,'2010'!$B$6:$B$55,0),MATCH($B5,'2010'!$C$1:$R$1,0)),0)</f>
        <v>0</v>
      </c>
      <c r="D5" s="107">
        <f>_xlfn.IFNA(INDEX('2010'!$C$6:$R$55,MATCH(D$4,'2010'!$B$6:$B$55,0),MATCH($B5,'2010'!$C$1:$R$1,0)),0)</f>
        <v>21580.32</v>
      </c>
      <c r="E5" s="107">
        <f>_xlfn.IFNA(INDEX('2010'!$C$6:$R$55,MATCH(E$4,'2010'!$B$6:$B$55,0),MATCH($B5,'2010'!$C$1:$R$1,0)),0)</f>
        <v>1043.671</v>
      </c>
      <c r="F5" s="107">
        <f>_xlfn.IFNA(INDEX('2010'!$C$6:$R$55,MATCH(F$4,'2010'!$B$6:$B$55,0),MATCH($B5,'2010'!$C$1:$R$1,0)),0)</f>
        <v>56552.896000000001</v>
      </c>
      <c r="G5" s="107">
        <f>_xlfn.IFNA(INDEX('2010'!$C$6:$R$55,MATCH(G$4,'2010'!$B$6:$B$55,0),MATCH($B5,'2010'!$C$1:$R$1,0)),0)</f>
        <v>687.6</v>
      </c>
      <c r="H5" s="107">
        <f>_xlfn.IFNA(INDEX('2010'!$C$6:$R$55,MATCH(H$4,'2010'!$B$6:$B$55,0),MATCH($B5,'2010'!$C$1:$R$1,0)),0)</f>
        <v>720.02099999999996</v>
      </c>
      <c r="I5" s="107">
        <f>_xlfn.IFNA(INDEX('2010'!$C$6:$R$55,MATCH(I$4,'2010'!$B$6:$B$55,0),MATCH($B5,'2010'!$C$1:$R$1,0)),0)</f>
        <v>2252.96</v>
      </c>
      <c r="J5" s="107">
        <f>_xlfn.IFNA(INDEX('2010'!$C$6:$R$55,MATCH(J$4,'2010'!$B$6:$B$55,0),MATCH($B5,'2010'!$C$1:$R$1,0)),0)</f>
        <v>8542.4750000000004</v>
      </c>
      <c r="K5" s="107">
        <f>_xlfn.IFNA(INDEX('2010'!$C$6:$R$55,MATCH(K$4,'2010'!$B$6:$B$55,0),MATCH($B5,'2010'!$C$1:$R$1,0)),0)</f>
        <v>15931.112999999999</v>
      </c>
      <c r="L5" s="107">
        <f>_xlfn.IFNA(INDEX('2010'!$C$6:$R$55,MATCH(L$4,'2010'!$B$6:$B$55,0),MATCH($B5,'2010'!$C$1:$R$1,0)),0)</f>
        <v>42.006</v>
      </c>
      <c r="M5" s="107">
        <f>_xlfn.IFNA(INDEX('2010'!$C$6:$R$55,MATCH(M$4,'2010'!$B$6:$B$55,0),MATCH($B5,'2010'!$C$1:$R$1,0)),0)</f>
        <v>426.83199999999999</v>
      </c>
      <c r="N5" s="107">
        <f>_xlfn.IFNA(INDEX('2010'!$C$6:$R$55,MATCH(N$4,'2010'!$B$6:$B$55,0),MATCH($B5,'2010'!$C$1:$R$1,0)),0)</f>
        <v>0</v>
      </c>
      <c r="O5" s="107">
        <f>_xlfn.IFNA(INDEX('2010'!$C$6:$R$55,MATCH(O$4,'2010'!$B$6:$B$55,0),MATCH($B5,'2010'!$C$1:$R$1,0)),0)</f>
        <v>357.05099999999999</v>
      </c>
      <c r="P5" s="107">
        <f>SUM(C5:O5)</f>
        <v>108136.94500000001</v>
      </c>
    </row>
    <row r="6" spans="2:19" ht="12.75" customHeight="1">
      <c r="B6" s="116" t="s">
        <v>54</v>
      </c>
      <c r="C6" s="107">
        <f>_xlfn.IFNA(INDEX('2010'!$C$6:$R$55,MATCH(C$4,'2010'!$B$6:$B$55,0),MATCH($B6,'2010'!$C$1:$R$1,0)),0)</f>
        <v>0</v>
      </c>
      <c r="D6" s="107">
        <f>_xlfn.IFNA(INDEX('2010'!$C$6:$R$55,MATCH(D$4,'2010'!$B$6:$B$55,0),MATCH($B6,'2010'!$C$1:$R$1,0)),0)</f>
        <v>45956.372000000003</v>
      </c>
      <c r="E6" s="107">
        <f>_xlfn.IFNA(INDEX('2010'!$C$6:$R$55,MATCH(E$4,'2010'!$B$6:$B$55,0),MATCH($B6,'2010'!$C$1:$R$1,0)),0)</f>
        <v>968.35199999999998</v>
      </c>
      <c r="F6" s="107">
        <f>_xlfn.IFNA(INDEX('2010'!$C$6:$R$55,MATCH(F$4,'2010'!$B$6:$B$55,0),MATCH($B6,'2010'!$C$1:$R$1,0)),0)</f>
        <v>7746.8159999999998</v>
      </c>
      <c r="G6" s="107">
        <f>_xlfn.IFNA(INDEX('2010'!$C$6:$R$55,MATCH(G$4,'2010'!$B$6:$B$55,0),MATCH($B6,'2010'!$C$1:$R$1,0)),0)</f>
        <v>0</v>
      </c>
      <c r="H6" s="107">
        <f>_xlfn.IFNA(INDEX('2010'!$C$6:$R$55,MATCH(H$4,'2010'!$B$6:$B$55,0),MATCH($B6,'2010'!$C$1:$R$1,0)),0)</f>
        <v>121.044</v>
      </c>
      <c r="I6" s="107">
        <f>_xlfn.IFNA(INDEX('2010'!$C$6:$R$55,MATCH(I$4,'2010'!$B$6:$B$55,0),MATCH($B6,'2010'!$C$1:$R$1,0)),0)</f>
        <v>80.695999999999998</v>
      </c>
      <c r="J6" s="107">
        <f>_xlfn.IFNA(INDEX('2010'!$C$6:$R$55,MATCH(J$4,'2010'!$B$6:$B$55,0),MATCH($B6,'2010'!$C$1:$R$1,0)),0)</f>
        <v>1896.356</v>
      </c>
      <c r="K6" s="107">
        <f>_xlfn.IFNA(INDEX('2010'!$C$6:$R$55,MATCH(K$4,'2010'!$B$6:$B$55,0),MATCH($B6,'2010'!$C$1:$R$1,0)),0)</f>
        <v>806.96</v>
      </c>
      <c r="L6" s="107">
        <f>_xlfn.IFNA(INDEX('2010'!$C$6:$R$55,MATCH(L$4,'2010'!$B$6:$B$55,0),MATCH($B6,'2010'!$C$1:$R$1,0)),0)</f>
        <v>928.00400000000002</v>
      </c>
      <c r="M6" s="107">
        <f>_xlfn.IFNA(INDEX('2010'!$C$6:$R$55,MATCH(M$4,'2010'!$B$6:$B$55,0),MATCH($B6,'2010'!$C$1:$R$1,0)),0)</f>
        <v>363.13200000000001</v>
      </c>
      <c r="N6" s="107">
        <f>_xlfn.IFNA(INDEX('2010'!$C$6:$R$55,MATCH(N$4,'2010'!$B$6:$B$55,0),MATCH($B6,'2010'!$C$1:$R$1,0)),0)</f>
        <v>0</v>
      </c>
      <c r="O6" s="107">
        <f>_xlfn.IFNA(INDEX('2010'!$C$6:$R$55,MATCH(O$4,'2010'!$B$6:$B$55,0),MATCH($B6,'2010'!$C$1:$R$1,0)),0)</f>
        <v>363.13200000000001</v>
      </c>
      <c r="P6" s="107">
        <f t="shared" ref="P6:P18" si="0">SUM(C6:O6)</f>
        <v>59230.864000000001</v>
      </c>
    </row>
    <row r="7" spans="2:19" ht="12.75" customHeight="1">
      <c r="B7" s="116" t="s">
        <v>68</v>
      </c>
      <c r="C7" s="107">
        <f>_xlfn.IFNA(INDEX('2010'!$C$6:$R$55,MATCH(C$4,'2010'!$B$6:$B$55,0),MATCH($B7,'2010'!$C$1:$R$1,0)),0)</f>
        <v>0</v>
      </c>
      <c r="D7" s="107">
        <f>_xlfn.IFNA(INDEX('2010'!$C$6:$R$55,MATCH(D$4,'2010'!$B$6:$B$55,0),MATCH($B7,'2010'!$C$1:$R$1,0)),0)</f>
        <v>2916.86</v>
      </c>
      <c r="E7" s="107">
        <f>_xlfn.IFNA(INDEX('2010'!$C$6:$R$55,MATCH(E$4,'2010'!$B$6:$B$55,0),MATCH($B7,'2010'!$C$1:$R$1,0)),0)</f>
        <v>1372.64</v>
      </c>
      <c r="F7" s="107">
        <f>_xlfn.IFNA(INDEX('2010'!$C$6:$R$55,MATCH(F$4,'2010'!$B$6:$B$55,0),MATCH($B7,'2010'!$C$1:$R$1,0)),0)</f>
        <v>12396.655000000001</v>
      </c>
      <c r="G7" s="107">
        <f>_xlfn.IFNA(INDEX('2010'!$C$6:$R$55,MATCH(G$4,'2010'!$B$6:$B$55,0),MATCH($B7,'2010'!$C$1:$R$1,0)),0)</f>
        <v>3774.76</v>
      </c>
      <c r="H7" s="107">
        <f>_xlfn.IFNA(INDEX('2010'!$C$6:$R$55,MATCH(H$4,'2010'!$B$6:$B$55,0),MATCH($B7,'2010'!$C$1:$R$1,0)),0)</f>
        <v>20718.285</v>
      </c>
      <c r="I7" s="107">
        <f>_xlfn.IFNA(INDEX('2010'!$C$6:$R$55,MATCH(I$4,'2010'!$B$6:$B$55,0),MATCH($B7,'2010'!$C$1:$R$1,0)),0)</f>
        <v>1072.375</v>
      </c>
      <c r="J7" s="107">
        <f>_xlfn.IFNA(INDEX('2010'!$C$6:$R$55,MATCH(J$4,'2010'!$B$6:$B$55,0),MATCH($B7,'2010'!$C$1:$R$1,0)),0)</f>
        <v>12997.184999999999</v>
      </c>
      <c r="K7" s="107">
        <f>_xlfn.IFNA(INDEX('2010'!$C$6:$R$55,MATCH(K$4,'2010'!$B$6:$B$55,0),MATCH($B7,'2010'!$C$1:$R$1,0)),0)</f>
        <v>2916.86</v>
      </c>
      <c r="L7" s="107">
        <f>_xlfn.IFNA(INDEX('2010'!$C$6:$R$55,MATCH(L$4,'2010'!$B$6:$B$55,0),MATCH($B7,'2010'!$C$1:$R$1,0)),0)</f>
        <v>1758.6949999999999</v>
      </c>
      <c r="M7" s="107">
        <f>_xlfn.IFNA(INDEX('2010'!$C$6:$R$55,MATCH(M$4,'2010'!$B$6:$B$55,0),MATCH($B7,'2010'!$C$1:$R$1,0)),0)</f>
        <v>1372.64</v>
      </c>
      <c r="N7" s="107">
        <f>_xlfn.IFNA(INDEX('2010'!$C$6:$R$55,MATCH(N$4,'2010'!$B$6:$B$55,0),MATCH($B7,'2010'!$C$1:$R$1,0)),0)</f>
        <v>0</v>
      </c>
      <c r="O7" s="107">
        <f>_xlfn.IFNA(INDEX('2010'!$C$6:$R$55,MATCH(O$4,'2010'!$B$6:$B$55,0),MATCH($B7,'2010'!$C$1:$R$1,0)),0)</f>
        <v>10294.799999999999</v>
      </c>
      <c r="P7" s="107">
        <f t="shared" si="0"/>
        <v>71591.75499999999</v>
      </c>
    </row>
    <row r="8" spans="2:19" ht="12.75" customHeight="1">
      <c r="B8" s="116" t="s">
        <v>79</v>
      </c>
      <c r="C8" s="107">
        <f>_xlfn.IFNA(INDEX('2010'!$C$6:$R$55,MATCH(C$4,'2010'!$B$6:$B$55,0),MATCH($B8,'2010'!$C$1:$R$1,0)),0)</f>
        <v>0</v>
      </c>
      <c r="D8" s="107">
        <f>_xlfn.IFNA(INDEX('2010'!$C$6:$R$55,MATCH(D$4,'2010'!$B$6:$B$55,0),MATCH($B8,'2010'!$C$1:$R$1,0)),0)</f>
        <v>0</v>
      </c>
      <c r="E8" s="107">
        <f>_xlfn.IFNA(INDEX('2010'!$C$6:$R$55,MATCH(E$4,'2010'!$B$6:$B$55,0),MATCH($B8,'2010'!$C$1:$R$1,0)),0)</f>
        <v>0</v>
      </c>
      <c r="F8" s="107">
        <f>_xlfn.IFNA(INDEX('2010'!$C$6:$R$55,MATCH(F$4,'2010'!$B$6:$B$55,0),MATCH($B8,'2010'!$C$1:$R$1,0)),0)</f>
        <v>0</v>
      </c>
      <c r="G8" s="107">
        <f>_xlfn.IFNA(INDEX('2010'!$C$6:$R$55,MATCH(G$4,'2010'!$B$6:$B$55,0),MATCH($B8,'2010'!$C$1:$R$1,0)),0)</f>
        <v>0</v>
      </c>
      <c r="H8" s="107">
        <f>_xlfn.IFNA(INDEX('2010'!$C$6:$R$55,MATCH(H$4,'2010'!$B$6:$B$55,0),MATCH($B8,'2010'!$C$1:$R$1,0)),0)</f>
        <v>0</v>
      </c>
      <c r="I8" s="107">
        <f>_xlfn.IFNA(INDEX('2010'!$C$6:$R$55,MATCH(I$4,'2010'!$B$6:$B$55,0),MATCH($B8,'2010'!$C$1:$R$1,0)),0)</f>
        <v>0</v>
      </c>
      <c r="J8" s="107">
        <f>_xlfn.IFNA(INDEX('2010'!$C$6:$R$55,MATCH(J$4,'2010'!$B$6:$B$55,0),MATCH($B8,'2010'!$C$1:$R$1,0)),0)</f>
        <v>0</v>
      </c>
      <c r="K8" s="107">
        <f>_xlfn.IFNA(INDEX('2010'!$C$6:$R$55,MATCH(K$4,'2010'!$B$6:$B$55,0),MATCH($B8,'2010'!$C$1:$R$1,0)),0)</f>
        <v>0</v>
      </c>
      <c r="L8" s="107">
        <f>_xlfn.IFNA(INDEX('2010'!$C$6:$R$55,MATCH(L$4,'2010'!$B$6:$B$55,0),MATCH($B8,'2010'!$C$1:$R$1,0)),0)</f>
        <v>0</v>
      </c>
      <c r="M8" s="107">
        <f>_xlfn.IFNA(INDEX('2010'!$C$6:$R$55,MATCH(M$4,'2010'!$B$6:$B$55,0),MATCH($B8,'2010'!$C$1:$R$1,0)),0)</f>
        <v>0</v>
      </c>
      <c r="N8" s="107">
        <f>_xlfn.IFNA(INDEX('2010'!$C$6:$R$55,MATCH(N$4,'2010'!$B$6:$B$55,0),MATCH($B8,'2010'!$C$1:$R$1,0)),0)</f>
        <v>0</v>
      </c>
      <c r="O8" s="107">
        <f>_xlfn.IFNA(INDEX('2010'!$C$6:$R$55,MATCH(O$4,'2010'!$B$6:$B$55,0),MATCH($B8,'2010'!$C$1:$R$1,0)),0)</f>
        <v>0</v>
      </c>
      <c r="P8" s="107">
        <f t="shared" si="0"/>
        <v>0</v>
      </c>
    </row>
    <row r="9" spans="2:19" ht="12.75" customHeight="1">
      <c r="B9" s="116" t="s">
        <v>53</v>
      </c>
      <c r="C9" s="107">
        <f>_xlfn.IFNA(INDEX('2010'!$C$6:$R$55,MATCH(C$4,'2010'!$B$6:$B$55,0),MATCH($B9,'2010'!$C$1:$R$1,0)),0)</f>
        <v>0</v>
      </c>
      <c r="D9" s="107">
        <f>_xlfn.IFNA(INDEX('2010'!$C$6:$R$55,MATCH(D$4,'2010'!$B$6:$B$55,0),MATCH($B9,'2010'!$C$1:$R$1,0)),0)</f>
        <v>0</v>
      </c>
      <c r="E9" s="107">
        <f>_xlfn.IFNA(INDEX('2010'!$C$6:$R$55,MATCH(E$4,'2010'!$B$6:$B$55,0),MATCH($B9,'2010'!$C$1:$R$1,0)),0)</f>
        <v>184.124</v>
      </c>
      <c r="F9" s="107">
        <f>_xlfn.IFNA(INDEX('2010'!$C$6:$R$55,MATCH(F$4,'2010'!$B$6:$B$55,0),MATCH($B9,'2010'!$C$1:$R$1,0)),0)</f>
        <v>1242.837</v>
      </c>
      <c r="G9" s="107">
        <f>_xlfn.IFNA(INDEX('2010'!$C$6:$R$55,MATCH(G$4,'2010'!$B$6:$B$55,0),MATCH($B9,'2010'!$C$1:$R$1,0)),0)</f>
        <v>230.155</v>
      </c>
      <c r="H9" s="107">
        <f>_xlfn.IFNA(INDEX('2010'!$C$6:$R$55,MATCH(H$4,'2010'!$B$6:$B$55,0),MATCH($B9,'2010'!$C$1:$R$1,0)),0)</f>
        <v>2439.643</v>
      </c>
      <c r="I9" s="107">
        <f>_xlfn.IFNA(INDEX('2010'!$C$6:$R$55,MATCH(I$4,'2010'!$B$6:$B$55,0),MATCH($B9,'2010'!$C$1:$R$1,0)),0)</f>
        <v>414.279</v>
      </c>
      <c r="J9" s="107">
        <f>_xlfn.IFNA(INDEX('2010'!$C$6:$R$55,MATCH(J$4,'2010'!$B$6:$B$55,0),MATCH($B9,'2010'!$C$1:$R$1,0)),0)</f>
        <v>1795.2090000000001</v>
      </c>
      <c r="K9" s="107">
        <f>_xlfn.IFNA(INDEX('2010'!$C$6:$R$55,MATCH(K$4,'2010'!$B$6:$B$55,0),MATCH($B9,'2010'!$C$1:$R$1,0)),0)</f>
        <v>368.24799999999999</v>
      </c>
      <c r="L9" s="107">
        <f>_xlfn.IFNA(INDEX('2010'!$C$6:$R$55,MATCH(L$4,'2010'!$B$6:$B$55,0),MATCH($B9,'2010'!$C$1:$R$1,0)),0)</f>
        <v>46.030999999999999</v>
      </c>
      <c r="M9" s="107">
        <f>_xlfn.IFNA(INDEX('2010'!$C$6:$R$55,MATCH(M$4,'2010'!$B$6:$B$55,0),MATCH($B9,'2010'!$C$1:$R$1,0)),0)</f>
        <v>46.030999999999999</v>
      </c>
      <c r="N9" s="107">
        <f>_xlfn.IFNA(INDEX('2010'!$C$6:$R$55,MATCH(N$4,'2010'!$B$6:$B$55,0),MATCH($B9,'2010'!$C$1:$R$1,0)),0)</f>
        <v>0</v>
      </c>
      <c r="O9" s="107">
        <f>_xlfn.IFNA(INDEX('2010'!$C$6:$R$55,MATCH(O$4,'2010'!$B$6:$B$55,0),MATCH($B9,'2010'!$C$1:$R$1,0)),0)</f>
        <v>1565.0540000000001</v>
      </c>
      <c r="P9" s="107">
        <f t="shared" si="0"/>
        <v>8331.6110000000008</v>
      </c>
    </row>
    <row r="10" spans="2:19" ht="12.75" customHeight="1">
      <c r="B10" s="116" t="s">
        <v>434</v>
      </c>
      <c r="C10" s="107">
        <f>_xlfn.IFNA(INDEX('2010'!$C$6:$R$55,MATCH(C$4,'2010'!$B$6:$B$55,0),MATCH($B10,'2010'!$C$1:$R$1,0)),0)</f>
        <v>0</v>
      </c>
      <c r="D10" s="107">
        <f>_xlfn.IFNA(INDEX('2010'!$C$6:$R$55,MATCH(D$4,'2010'!$B$6:$B$55,0),MATCH($B10,'2010'!$C$1:$R$1,0)),0)</f>
        <v>3539.7</v>
      </c>
      <c r="E10" s="107">
        <f>_xlfn.IFNA(INDEX('2010'!$C$6:$R$55,MATCH(E$4,'2010'!$B$6:$B$55,0),MATCH($B10,'2010'!$C$1:$R$1,0)),0)</f>
        <v>0</v>
      </c>
      <c r="F10" s="107">
        <f>_xlfn.IFNA(INDEX('2010'!$C$6:$R$55,MATCH(F$4,'2010'!$B$6:$B$55,0),MATCH($B10,'2010'!$C$1:$R$1,0)),0)</f>
        <v>107.1</v>
      </c>
      <c r="G10" s="107">
        <f>_xlfn.IFNA(INDEX('2010'!$C$6:$R$55,MATCH(G$4,'2010'!$B$6:$B$55,0),MATCH($B10,'2010'!$C$1:$R$1,0)),0)</f>
        <v>350.1</v>
      </c>
      <c r="H10" s="107">
        <f>_xlfn.IFNA(INDEX('2010'!$C$6:$R$55,MATCH(H$4,'2010'!$B$6:$B$55,0),MATCH($B10,'2010'!$C$1:$R$1,0)),0)</f>
        <v>0</v>
      </c>
      <c r="I10" s="107">
        <f>_xlfn.IFNA(INDEX('2010'!$C$6:$R$55,MATCH(I$4,'2010'!$B$6:$B$55,0),MATCH($B10,'2010'!$C$1:$R$1,0)),0)</f>
        <v>0</v>
      </c>
      <c r="J10" s="107">
        <f>_xlfn.IFNA(INDEX('2010'!$C$6:$R$55,MATCH(J$4,'2010'!$B$6:$B$55,0),MATCH($B10,'2010'!$C$1:$R$1,0)),0)</f>
        <v>0</v>
      </c>
      <c r="K10" s="107">
        <f>_xlfn.IFNA(INDEX('2010'!$C$6:$R$55,MATCH(K$4,'2010'!$B$6:$B$55,0),MATCH($B10,'2010'!$C$1:$R$1,0)),0)</f>
        <v>0</v>
      </c>
      <c r="L10" s="107">
        <f>_xlfn.IFNA(INDEX('2010'!$C$6:$R$55,MATCH(L$4,'2010'!$B$6:$B$55,0),MATCH($B10,'2010'!$C$1:$R$1,0)),0)</f>
        <v>0</v>
      </c>
      <c r="M10" s="107">
        <f>_xlfn.IFNA(INDEX('2010'!$C$6:$R$55,MATCH(M$4,'2010'!$B$6:$B$55,0),MATCH($B10,'2010'!$C$1:$R$1,0)),0)</f>
        <v>0</v>
      </c>
      <c r="N10" s="107">
        <f>_xlfn.IFNA(INDEX('2010'!$C$6:$R$55,MATCH(N$4,'2010'!$B$6:$B$55,0),MATCH($B10,'2010'!$C$1:$R$1,0)),0)</f>
        <v>0</v>
      </c>
      <c r="O10" s="107">
        <f>_xlfn.IFNA(INDEX('2010'!$C$6:$R$55,MATCH(O$4,'2010'!$B$6:$B$55,0),MATCH($B10,'2010'!$C$1:$R$1,0)),0)</f>
        <v>5.4</v>
      </c>
      <c r="P10" s="107">
        <f t="shared" si="0"/>
        <v>4002.2999999999997</v>
      </c>
    </row>
    <row r="11" spans="2:19" ht="12.75" customHeight="1">
      <c r="B11" s="116" t="s">
        <v>51</v>
      </c>
      <c r="C11" s="107">
        <f>_xlfn.IFNA(INDEX('2010'!$C$6:$R$55,MATCH(C$4,'2010'!$B$6:$B$55,0),MATCH($B11,'2010'!$C$1:$R$1,0)),0)</f>
        <v>13816.061</v>
      </c>
      <c r="D11" s="107">
        <f>_xlfn.IFNA(INDEX('2010'!$C$6:$R$55,MATCH(D$4,'2010'!$B$6:$B$55,0),MATCH($B11,'2010'!$C$1:$R$1,0)),0)</f>
        <v>237284.88700000002</v>
      </c>
      <c r="E11" s="107">
        <f>_xlfn.IFNA(INDEX('2010'!$C$6:$R$55,MATCH(E$4,'2010'!$B$6:$B$55,0),MATCH($B11,'2010'!$C$1:$R$1,0)),0)</f>
        <v>32190.673999999999</v>
      </c>
      <c r="F11" s="107">
        <f>_xlfn.IFNA(INDEX('2010'!$C$6:$R$55,MATCH(F$4,'2010'!$B$6:$B$55,0),MATCH($B11,'2010'!$C$1:$R$1,0)),0)</f>
        <v>102503.992</v>
      </c>
      <c r="G11" s="107">
        <f>_xlfn.IFNA(INDEX('2010'!$C$6:$R$55,MATCH(G$4,'2010'!$B$6:$B$55,0),MATCH($B11,'2010'!$C$1:$R$1,0)),0)</f>
        <v>38022.741999999998</v>
      </c>
      <c r="H11" s="107">
        <f>_xlfn.IFNA(INDEX('2010'!$C$6:$R$55,MATCH(H$4,'2010'!$B$6:$B$55,0),MATCH($B11,'2010'!$C$1:$R$1,0)),0)</f>
        <v>74901.570999999996</v>
      </c>
      <c r="I11" s="107">
        <f>_xlfn.IFNA(INDEX('2010'!$C$6:$R$55,MATCH(I$4,'2010'!$B$6:$B$55,0),MATCH($B11,'2010'!$C$1:$R$1,0)),0)</f>
        <v>6125.4709999999995</v>
      </c>
      <c r="J11" s="107">
        <f>_xlfn.IFNA(INDEX('2010'!$C$6:$R$55,MATCH(J$4,'2010'!$B$6:$B$55,0),MATCH($B11,'2010'!$C$1:$R$1,0)),0)</f>
        <v>105401.126</v>
      </c>
      <c r="K11" s="107">
        <f>_xlfn.IFNA(INDEX('2010'!$C$6:$R$55,MATCH(K$4,'2010'!$B$6:$B$55,0),MATCH($B11,'2010'!$C$1:$R$1,0)),0)</f>
        <v>94414.698000000004</v>
      </c>
      <c r="L11" s="107">
        <f>_xlfn.IFNA(INDEX('2010'!$C$6:$R$55,MATCH(L$4,'2010'!$B$6:$B$55,0),MATCH($B11,'2010'!$C$1:$R$1,0)),0)</f>
        <v>6317.1729999999998</v>
      </c>
      <c r="M11" s="107">
        <f>_xlfn.IFNA(INDEX('2010'!$C$6:$R$55,MATCH(M$4,'2010'!$B$6:$B$55,0),MATCH($B11,'2010'!$C$1:$R$1,0)),0)</f>
        <v>10936.927</v>
      </c>
      <c r="N11" s="107">
        <f>_xlfn.IFNA(INDEX('2010'!$C$6:$R$55,MATCH(N$4,'2010'!$B$6:$B$55,0),MATCH($B11,'2010'!$C$1:$R$1,0)),0)</f>
        <v>21828.853999999999</v>
      </c>
      <c r="O11" s="107">
        <f>_xlfn.IFNA(INDEX('2010'!$C$6:$R$55,MATCH(O$4,'2010'!$B$6:$B$55,0),MATCH($B11,'2010'!$C$1:$R$1,0)),0)</f>
        <v>29970.804</v>
      </c>
      <c r="P11" s="107">
        <f t="shared" si="0"/>
        <v>773714.98</v>
      </c>
    </row>
    <row r="12" spans="2:19" ht="12.75" customHeight="1">
      <c r="B12" s="116" t="s">
        <v>77</v>
      </c>
      <c r="C12" s="107">
        <f>_xlfn.IFNA(INDEX('2010'!$C$6:$R$55,MATCH(C$4,'2010'!$B$6:$B$55,0),MATCH($B12,'2010'!$C$1:$R$1,0)),0)</f>
        <v>11864</v>
      </c>
      <c r="D12" s="107">
        <f>_xlfn.IFNA(INDEX('2010'!$C$6:$R$55,MATCH(D$4,'2010'!$B$6:$B$55,0),MATCH($B12,'2010'!$C$1:$R$1,0)),0)</f>
        <v>4839</v>
      </c>
      <c r="E12" s="107">
        <f>_xlfn.IFNA(INDEX('2010'!$C$6:$R$55,MATCH(E$4,'2010'!$B$6:$B$55,0),MATCH($B12,'2010'!$C$1:$R$1,0)),0)</f>
        <v>17</v>
      </c>
      <c r="F12" s="107">
        <f>_xlfn.IFNA(INDEX('2010'!$C$6:$R$55,MATCH(F$4,'2010'!$B$6:$B$55,0),MATCH($B12,'2010'!$C$1:$R$1,0)),0)</f>
        <v>17</v>
      </c>
      <c r="G12" s="107">
        <f>_xlfn.IFNA(INDEX('2010'!$C$6:$R$55,MATCH(G$4,'2010'!$B$6:$B$55,0),MATCH($B12,'2010'!$C$1:$R$1,0)),0)</f>
        <v>0</v>
      </c>
      <c r="H12" s="107">
        <f>_xlfn.IFNA(INDEX('2010'!$C$6:$R$55,MATCH(H$4,'2010'!$B$6:$B$55,0),MATCH($B12,'2010'!$C$1:$R$1,0)),0)</f>
        <v>33</v>
      </c>
      <c r="I12" s="107">
        <f>_xlfn.IFNA(INDEX('2010'!$C$6:$R$55,MATCH(I$4,'2010'!$B$6:$B$55,0),MATCH($B12,'2010'!$C$1:$R$1,0)),0)</f>
        <v>0</v>
      </c>
      <c r="J12" s="107">
        <f>_xlfn.IFNA(INDEX('2010'!$C$6:$R$55,MATCH(J$4,'2010'!$B$6:$B$55,0),MATCH($B12,'2010'!$C$1:$R$1,0)),0)</f>
        <v>583</v>
      </c>
      <c r="K12" s="107">
        <f>_xlfn.IFNA(INDEX('2010'!$C$6:$R$55,MATCH(K$4,'2010'!$B$6:$B$55,0),MATCH($B12,'2010'!$C$1:$R$1,0)),0)</f>
        <v>943</v>
      </c>
      <c r="L12" s="107">
        <f>_xlfn.IFNA(INDEX('2010'!$C$6:$R$55,MATCH(L$4,'2010'!$B$6:$B$55,0),MATCH($B12,'2010'!$C$1:$R$1,0)),0)</f>
        <v>0</v>
      </c>
      <c r="M12" s="107">
        <f>_xlfn.IFNA(INDEX('2010'!$C$6:$R$55,MATCH(M$4,'2010'!$B$6:$B$55,0),MATCH($B12,'2010'!$C$1:$R$1,0)),0)</f>
        <v>15</v>
      </c>
      <c r="N12" s="107">
        <f>_xlfn.IFNA(INDEX('2010'!$C$6:$R$55,MATCH(N$4,'2010'!$B$6:$B$55,0),MATCH($B12,'2010'!$C$1:$R$1,0)),0)</f>
        <v>0</v>
      </c>
      <c r="O12" s="107">
        <f>_xlfn.IFNA(INDEX('2010'!$C$6:$R$55,MATCH(O$4,'2010'!$B$6:$B$55,0),MATCH($B12,'2010'!$C$1:$R$1,0)),0)</f>
        <v>66</v>
      </c>
      <c r="P12" s="107"/>
    </row>
    <row r="13" spans="2:19" ht="12.75" customHeight="1">
      <c r="B13" s="116" t="s">
        <v>433</v>
      </c>
      <c r="C13" s="107">
        <f>_xlfn.IFNA(INDEX('2010'!$C$6:$R$55,MATCH(C$4,'2010'!$B$6:$B$55,0),MATCH($B13,'2010'!$C$1:$R$1,0)),0)</f>
        <v>1571.3719999999998</v>
      </c>
      <c r="D13" s="107">
        <f>_xlfn.IFNA(INDEX('2010'!$C$6:$R$55,MATCH(D$4,'2010'!$B$6:$B$55,0),MATCH($B13,'2010'!$C$1:$R$1,0)),0)</f>
        <v>168.46</v>
      </c>
      <c r="E13" s="107">
        <f>_xlfn.IFNA(INDEX('2010'!$C$6:$R$55,MATCH(E$4,'2010'!$B$6:$B$55,0),MATCH($B13,'2010'!$C$1:$R$1,0)),0)</f>
        <v>0</v>
      </c>
      <c r="F13" s="107">
        <f>_xlfn.IFNA(INDEX('2010'!$C$6:$R$55,MATCH(F$4,'2010'!$B$6:$B$55,0),MATCH($B13,'2010'!$C$1:$R$1,0)),0)</f>
        <v>1111.836</v>
      </c>
      <c r="G13" s="107">
        <f>_xlfn.IFNA(INDEX('2010'!$C$6:$R$55,MATCH(G$4,'2010'!$B$6:$B$55,0),MATCH($B13,'2010'!$C$1:$R$1,0)),0)</f>
        <v>101.07599999999999</v>
      </c>
      <c r="H13" s="107">
        <f>_xlfn.IFNA(INDEX('2010'!$C$6:$R$55,MATCH(H$4,'2010'!$B$6:$B$55,0),MATCH($B13,'2010'!$C$1:$R$1,0)),0)</f>
        <v>168.46</v>
      </c>
      <c r="I13" s="107">
        <f>_xlfn.IFNA(INDEX('2010'!$C$6:$R$55,MATCH(I$4,'2010'!$B$6:$B$55,0),MATCH($B13,'2010'!$C$1:$R$1,0)),0)</f>
        <v>67.384</v>
      </c>
      <c r="J13" s="107">
        <f>_xlfn.IFNA(INDEX('2010'!$C$6:$R$55,MATCH(J$4,'2010'!$B$6:$B$55,0),MATCH($B13,'2010'!$C$1:$R$1,0)),0)</f>
        <v>235.84399999999999</v>
      </c>
      <c r="K13" s="107">
        <f>_xlfn.IFNA(INDEX('2010'!$C$6:$R$55,MATCH(K$4,'2010'!$B$6:$B$55,0),MATCH($B13,'2010'!$C$1:$R$1,0)),0)</f>
        <v>0</v>
      </c>
      <c r="L13" s="107">
        <f>_xlfn.IFNA(INDEX('2010'!$C$6:$R$55,MATCH(L$4,'2010'!$B$6:$B$55,0),MATCH($B13,'2010'!$C$1:$R$1,0)),0)</f>
        <v>0</v>
      </c>
      <c r="M13" s="107">
        <f>_xlfn.IFNA(INDEX('2010'!$C$6:$R$55,MATCH(M$4,'2010'!$B$6:$B$55,0),MATCH($B13,'2010'!$C$1:$R$1,0)),0)</f>
        <v>0</v>
      </c>
      <c r="N13" s="107">
        <f>_xlfn.IFNA(INDEX('2010'!$C$6:$R$55,MATCH(N$4,'2010'!$B$6:$B$55,0),MATCH($B13,'2010'!$C$1:$R$1,0)),0)</f>
        <v>0</v>
      </c>
      <c r="O13" s="107">
        <f>_xlfn.IFNA(INDEX('2010'!$C$6:$R$55,MATCH(O$4,'2010'!$B$6:$B$55,0),MATCH($B13,'2010'!$C$1:$R$1,0)),0)</f>
        <v>33.692</v>
      </c>
      <c r="P13" s="107"/>
    </row>
    <row r="14" spans="2:19" ht="12.75" customHeight="1">
      <c r="B14" s="116" t="s">
        <v>78</v>
      </c>
      <c r="C14" s="107">
        <f>_xlfn.IFNA(INDEX('2010'!$C$6:$R$55,MATCH(C$4,'2010'!$B$6:$B$55,0),MATCH($B14,'2010'!$C$1:$R$1,0)),0)</f>
        <v>5457</v>
      </c>
      <c r="D14" s="107">
        <f>_xlfn.IFNA(INDEX('2010'!$C$6:$R$55,MATCH(D$4,'2010'!$B$6:$B$55,0),MATCH($B14,'2010'!$C$1:$R$1,0)),0)</f>
        <v>1701</v>
      </c>
      <c r="E14" s="107">
        <f>_xlfn.IFNA(INDEX('2010'!$C$6:$R$55,MATCH(E$4,'2010'!$B$6:$B$55,0),MATCH($B14,'2010'!$C$1:$R$1,0)),0)</f>
        <v>0</v>
      </c>
      <c r="F14" s="107">
        <f>_xlfn.IFNA(INDEX('2010'!$C$6:$R$55,MATCH(F$4,'2010'!$B$6:$B$55,0),MATCH($B14,'2010'!$C$1:$R$1,0)),0)</f>
        <v>6041</v>
      </c>
      <c r="G14" s="107">
        <f>_xlfn.IFNA(INDEX('2010'!$C$6:$R$55,MATCH(G$4,'2010'!$B$6:$B$55,0),MATCH($B14,'2010'!$C$1:$R$1,0)),0)</f>
        <v>239</v>
      </c>
      <c r="H14" s="107">
        <f>_xlfn.IFNA(INDEX('2010'!$C$6:$R$55,MATCH(H$4,'2010'!$B$6:$B$55,0),MATCH($B14,'2010'!$C$1:$R$1,0)),0)</f>
        <v>1648</v>
      </c>
      <c r="I14" s="107">
        <f>_xlfn.IFNA(INDEX('2010'!$C$6:$R$55,MATCH(I$4,'2010'!$B$6:$B$55,0),MATCH($B14,'2010'!$C$1:$R$1,0)),0)</f>
        <v>571</v>
      </c>
      <c r="J14" s="107">
        <f>_xlfn.IFNA(INDEX('2010'!$C$6:$R$55,MATCH(J$4,'2010'!$B$6:$B$55,0),MATCH($B14,'2010'!$C$1:$R$1,0)),0)</f>
        <v>1184</v>
      </c>
      <c r="K14" s="107">
        <f>_xlfn.IFNA(INDEX('2010'!$C$6:$R$55,MATCH(K$4,'2010'!$B$6:$B$55,0),MATCH($B14,'2010'!$C$1:$R$1,0)),0)</f>
        <v>39709</v>
      </c>
      <c r="L14" s="107">
        <f>_xlfn.IFNA(INDEX('2010'!$C$6:$R$55,MATCH(L$4,'2010'!$B$6:$B$55,0),MATCH($B14,'2010'!$C$1:$R$1,0)),0)</f>
        <v>45952</v>
      </c>
      <c r="M14" s="107">
        <f>_xlfn.IFNA(INDEX('2010'!$C$6:$R$55,MATCH(M$4,'2010'!$B$6:$B$55,0),MATCH($B14,'2010'!$C$1:$R$1,0)),0)</f>
        <v>88</v>
      </c>
      <c r="N14" s="107">
        <f>_xlfn.IFNA(INDEX('2010'!$C$6:$R$55,MATCH(N$4,'2010'!$B$6:$B$55,0),MATCH($B14,'2010'!$C$1:$R$1,0)),0)</f>
        <v>0</v>
      </c>
      <c r="O14" s="107">
        <f>_xlfn.IFNA(INDEX('2010'!$C$6:$R$55,MATCH(O$4,'2010'!$B$6:$B$55,0),MATCH($B14,'2010'!$C$1:$R$1,0)),0)</f>
        <v>3985</v>
      </c>
      <c r="P14" s="107">
        <f>SUM(C14:O14)</f>
        <v>106575</v>
      </c>
      <c r="R14" s="115">
        <v>0.2</v>
      </c>
      <c r="S14" s="115" t="s">
        <v>381</v>
      </c>
    </row>
    <row r="15" spans="2:19" ht="12.75" customHeight="1">
      <c r="B15" s="116" t="s">
        <v>80</v>
      </c>
      <c r="C15" s="107">
        <f>_xlfn.IFNA(INDEX('2010'!$C$6:$R$55,MATCH(C$4,'2010'!$B$6:$B$55,0),MATCH($B15,'2010'!$C$1:$R$1,0)),0)</f>
        <v>0</v>
      </c>
      <c r="D15" s="107">
        <f>_xlfn.IFNA(INDEX('2010'!$C$6:$R$55,MATCH(D$4,'2010'!$B$6:$B$55,0),MATCH($B15,'2010'!$C$1:$R$1,0)),0)</f>
        <v>6545</v>
      </c>
      <c r="E15" s="107">
        <f>_xlfn.IFNA(INDEX('2010'!$C$6:$R$55,MATCH(E$4,'2010'!$B$6:$B$55,0),MATCH($B15,'2010'!$C$1:$R$1,0)),0)</f>
        <v>312</v>
      </c>
      <c r="F15" s="107">
        <f>_xlfn.IFNA(INDEX('2010'!$C$6:$R$55,MATCH(F$4,'2010'!$B$6:$B$55,0),MATCH($B15,'2010'!$C$1:$R$1,0)),0)</f>
        <v>33264</v>
      </c>
      <c r="G15" s="107">
        <f>_xlfn.IFNA(INDEX('2010'!$C$6:$R$55,MATCH(G$4,'2010'!$B$6:$B$55,0),MATCH($B15,'2010'!$C$1:$R$1,0)),0)</f>
        <v>0</v>
      </c>
      <c r="H15" s="107">
        <f>_xlfn.IFNA(INDEX('2010'!$C$6:$R$55,MATCH(H$4,'2010'!$B$6:$B$55,0),MATCH($B15,'2010'!$C$1:$R$1,0)),0)</f>
        <v>8</v>
      </c>
      <c r="I15" s="107">
        <f>_xlfn.IFNA(INDEX('2010'!$C$6:$R$55,MATCH(I$4,'2010'!$B$6:$B$55,0),MATCH($B15,'2010'!$C$1:$R$1,0)),0)</f>
        <v>0</v>
      </c>
      <c r="J15" s="107">
        <f>_xlfn.IFNA(INDEX('2010'!$C$6:$R$55,MATCH(J$4,'2010'!$B$6:$B$55,0),MATCH($B15,'2010'!$C$1:$R$1,0)),0)</f>
        <v>384</v>
      </c>
      <c r="K15" s="107">
        <f>_xlfn.IFNA(INDEX('2010'!$C$6:$R$55,MATCH(K$4,'2010'!$B$6:$B$55,0),MATCH($B15,'2010'!$C$1:$R$1,0)),0)</f>
        <v>2134</v>
      </c>
      <c r="L15" s="107">
        <f>_xlfn.IFNA(INDEX('2010'!$C$6:$R$55,MATCH(L$4,'2010'!$B$6:$B$55,0),MATCH($B15,'2010'!$C$1:$R$1,0)),0)</f>
        <v>0</v>
      </c>
      <c r="M15" s="107">
        <f>_xlfn.IFNA(INDEX('2010'!$C$6:$R$55,MATCH(M$4,'2010'!$B$6:$B$55,0),MATCH($B15,'2010'!$C$1:$R$1,0)),0)</f>
        <v>0</v>
      </c>
      <c r="N15" s="107">
        <f>_xlfn.IFNA(INDEX('2010'!$C$6:$R$55,MATCH(N$4,'2010'!$B$6:$B$55,0),MATCH($B15,'2010'!$C$1:$R$1,0)),0)</f>
        <v>0</v>
      </c>
      <c r="O15" s="107">
        <f>_xlfn.IFNA(INDEX('2010'!$C$6:$R$55,MATCH(O$4,'2010'!$B$6:$B$55,0),MATCH($B15,'2010'!$C$1:$R$1,0)),0)</f>
        <v>5</v>
      </c>
      <c r="P15" s="107">
        <f t="shared" si="0"/>
        <v>42652</v>
      </c>
      <c r="R15" s="115">
        <f>1-R14</f>
        <v>0.8</v>
      </c>
      <c r="S15" s="115" t="s">
        <v>381</v>
      </c>
    </row>
    <row r="16" spans="2:19" ht="12.75" customHeight="1">
      <c r="B16" s="116" t="s">
        <v>50</v>
      </c>
      <c r="C16" s="107">
        <f>_xlfn.IFNA(INDEX('2010'!$C$6:$R$55,MATCH(C$4,'2010'!$B$6:$B$55,0),MATCH($B16,'2010'!$C$1:$R$1,0)),0)</f>
        <v>21153.599999999999</v>
      </c>
      <c r="D16" s="107">
        <f>_xlfn.IFNA(INDEX('2010'!$C$6:$R$55,MATCH(D$4,'2010'!$B$6:$B$55,0),MATCH($B16,'2010'!$C$1:$R$1,0)),0)</f>
        <v>188413.2</v>
      </c>
      <c r="E16" s="107">
        <f>_xlfn.IFNA(INDEX('2010'!$C$6:$R$55,MATCH(E$4,'2010'!$B$6:$B$55,0),MATCH($B16,'2010'!$C$1:$R$1,0)),0)</f>
        <v>49122</v>
      </c>
      <c r="F16" s="107">
        <f>_xlfn.IFNA(INDEX('2010'!$C$6:$R$55,MATCH(F$4,'2010'!$B$6:$B$55,0),MATCH($B16,'2010'!$C$1:$R$1,0)),0)</f>
        <v>44042.400000000001</v>
      </c>
      <c r="G16" s="107">
        <f>_xlfn.IFNA(INDEX('2010'!$C$6:$R$55,MATCH(G$4,'2010'!$B$6:$B$55,0),MATCH($B16,'2010'!$C$1:$R$1,0)),0)</f>
        <v>64216.800000000003</v>
      </c>
      <c r="H16" s="107">
        <f>_xlfn.IFNA(INDEX('2010'!$C$6:$R$55,MATCH(H$4,'2010'!$B$6:$B$55,0),MATCH($B16,'2010'!$C$1:$R$1,0)),0)</f>
        <v>118476</v>
      </c>
      <c r="I16" s="107">
        <f>_xlfn.IFNA(INDEX('2010'!$C$6:$R$55,MATCH(I$4,'2010'!$B$6:$B$55,0),MATCH($B16,'2010'!$C$1:$R$1,0)),0)</f>
        <v>7768.8</v>
      </c>
      <c r="J16" s="107">
        <f>_xlfn.IFNA(INDEX('2010'!$C$6:$R$55,MATCH(J$4,'2010'!$B$6:$B$55,0),MATCH($B16,'2010'!$C$1:$R$1,0)),0)</f>
        <v>63090</v>
      </c>
      <c r="K16" s="107">
        <f>_xlfn.IFNA(INDEX('2010'!$C$6:$R$55,MATCH(K$4,'2010'!$B$6:$B$55,0),MATCH($B16,'2010'!$C$1:$R$1,0)),0)</f>
        <v>87469.2</v>
      </c>
      <c r="L16" s="107">
        <f>_xlfn.IFNA(INDEX('2010'!$C$6:$R$55,MATCH(L$4,'2010'!$B$6:$B$55,0),MATCH($B16,'2010'!$C$1:$R$1,0)),0)</f>
        <v>16236</v>
      </c>
      <c r="M16" s="107">
        <f>_xlfn.IFNA(INDEX('2010'!$C$6:$R$55,MATCH(M$4,'2010'!$B$6:$B$55,0),MATCH($B16,'2010'!$C$1:$R$1,0)),0)</f>
        <v>8935.2000000000007</v>
      </c>
      <c r="N16" s="107">
        <f>_xlfn.IFNA(INDEX('2010'!$C$6:$R$55,MATCH(N$4,'2010'!$B$6:$B$55,0),MATCH($B16,'2010'!$C$1:$R$1,0)),0)</f>
        <v>14310</v>
      </c>
      <c r="O16" s="107">
        <f>_xlfn.IFNA(INDEX('2010'!$C$6:$R$55,MATCH(O$4,'2010'!$B$6:$B$55,0),MATCH($B16,'2010'!$C$1:$R$1,0)),0)</f>
        <v>63003.6</v>
      </c>
      <c r="P16" s="107">
        <f t="shared" si="0"/>
        <v>746236.79999999993</v>
      </c>
    </row>
    <row r="17" spans="2:16" ht="12.75" customHeight="1">
      <c r="B17" s="117" t="s">
        <v>52</v>
      </c>
      <c r="C17" s="107">
        <f>_xlfn.IFNA(INDEX('2010'!$C$6:$R$55,MATCH(C$4,'2010'!$B$6:$B$55,0),MATCH($B17,'2010'!$C$1:$R$1,0)),0)</f>
        <v>0</v>
      </c>
      <c r="D17" s="107">
        <f>_xlfn.IFNA(INDEX('2010'!$C$6:$R$55,MATCH(D$4,'2010'!$B$6:$B$55,0),MATCH($B17,'2010'!$C$1:$R$1,0)),0)</f>
        <v>75475</v>
      </c>
      <c r="E17" s="107">
        <f>_xlfn.IFNA(INDEX('2010'!$C$6:$R$55,MATCH(E$4,'2010'!$B$6:$B$55,0),MATCH($B17,'2010'!$C$1:$R$1,0)),0)</f>
        <v>2571</v>
      </c>
      <c r="F17" s="107">
        <f>_xlfn.IFNA(INDEX('2010'!$C$6:$R$55,MATCH(F$4,'2010'!$B$6:$B$55,0),MATCH($B17,'2010'!$C$1:$R$1,0)),0)</f>
        <v>608</v>
      </c>
      <c r="G17" s="107">
        <f>_xlfn.IFNA(INDEX('2010'!$C$6:$R$55,MATCH(G$4,'2010'!$B$6:$B$55,0),MATCH($B17,'2010'!$C$1:$R$1,0)),0)</f>
        <v>15937</v>
      </c>
      <c r="H17" s="107">
        <f>_xlfn.IFNA(INDEX('2010'!$C$6:$R$55,MATCH(H$4,'2010'!$B$6:$B$55,0),MATCH($B17,'2010'!$C$1:$R$1,0)),0)</f>
        <v>13136</v>
      </c>
      <c r="I17" s="107">
        <f>_xlfn.IFNA(INDEX('2010'!$C$6:$R$55,MATCH(I$4,'2010'!$B$6:$B$55,0),MATCH($B17,'2010'!$C$1:$R$1,0)),0)</f>
        <v>56</v>
      </c>
      <c r="J17" s="107">
        <f>_xlfn.IFNA(INDEX('2010'!$C$6:$R$55,MATCH(J$4,'2010'!$B$6:$B$55,0),MATCH($B17,'2010'!$C$1:$R$1,0)),0)</f>
        <v>5601</v>
      </c>
      <c r="K17" s="107">
        <f>_xlfn.IFNA(INDEX('2010'!$C$6:$R$55,MATCH(K$4,'2010'!$B$6:$B$55,0),MATCH($B17,'2010'!$C$1:$R$1,0)),0)</f>
        <v>17725</v>
      </c>
      <c r="L17" s="107">
        <f>_xlfn.IFNA(INDEX('2010'!$C$6:$R$55,MATCH(L$4,'2010'!$B$6:$B$55,0),MATCH($B17,'2010'!$C$1:$R$1,0)),0)</f>
        <v>4184</v>
      </c>
      <c r="M17" s="107">
        <f>_xlfn.IFNA(INDEX('2010'!$C$6:$R$55,MATCH(M$4,'2010'!$B$6:$B$55,0),MATCH($B17,'2010'!$C$1:$R$1,0)),0)</f>
        <v>2521</v>
      </c>
      <c r="N17" s="107">
        <f>_xlfn.IFNA(INDEX('2010'!$C$6:$R$55,MATCH(N$4,'2010'!$B$6:$B$55,0),MATCH($B17,'2010'!$C$1:$R$1,0)),0)</f>
        <v>0</v>
      </c>
      <c r="O17" s="107">
        <f>_xlfn.IFNA(INDEX('2010'!$C$6:$R$55,MATCH(O$4,'2010'!$B$6:$B$55,0),MATCH($B17,'2010'!$C$1:$R$1,0)),0)</f>
        <v>6434</v>
      </c>
      <c r="P17" s="107">
        <f t="shared" si="0"/>
        <v>144248</v>
      </c>
    </row>
    <row r="18" spans="2:16" ht="12.75" customHeight="1">
      <c r="B18" s="116" t="s">
        <v>315</v>
      </c>
      <c r="C18" s="107">
        <f>SUM(C14:C15)</f>
        <v>5457</v>
      </c>
      <c r="D18" s="107">
        <f>SUM(D14:D15)</f>
        <v>8246</v>
      </c>
      <c r="E18" s="107">
        <f>SUM(E14:E15)</f>
        <v>312</v>
      </c>
      <c r="F18" s="107">
        <f>SUM(F14:F15)</f>
        <v>39305</v>
      </c>
      <c r="G18" s="107">
        <f>SUM(G14:G15)</f>
        <v>239</v>
      </c>
      <c r="H18" s="107">
        <f>SUM(H14:H15)</f>
        <v>1656</v>
      </c>
      <c r="I18" s="107">
        <f>SUM(I14:I15)</f>
        <v>571</v>
      </c>
      <c r="J18" s="107">
        <f>SUM(J14:J15)</f>
        <v>1568</v>
      </c>
      <c r="K18" s="107">
        <f>SUM(K14:K15)</f>
        <v>41843</v>
      </c>
      <c r="L18" s="107">
        <f>SUM(L14:L15)</f>
        <v>45952</v>
      </c>
      <c r="M18" s="107">
        <f>SUM(M14:M15)</f>
        <v>88</v>
      </c>
      <c r="N18" s="107">
        <f>SUM(N14:N15)</f>
        <v>0</v>
      </c>
      <c r="O18" s="107">
        <f>SUM(O14:O15)</f>
        <v>3990</v>
      </c>
      <c r="P18" s="107">
        <f t="shared" si="0"/>
        <v>149227</v>
      </c>
    </row>
    <row r="19" spans="2:16" ht="12.75" customHeight="1">
      <c r="B19" s="107" t="s">
        <v>380</v>
      </c>
      <c r="C19" s="107">
        <f>SUM(C5:C17)</f>
        <v>53862.032999999996</v>
      </c>
      <c r="D19" s="107">
        <f>SUM(D5:D17)</f>
        <v>588419.79900000012</v>
      </c>
      <c r="E19" s="107">
        <f>SUM(E5:E17)</f>
        <v>87781.460999999996</v>
      </c>
      <c r="F19" s="107">
        <f>SUM(F5:F17)</f>
        <v>265634.53200000001</v>
      </c>
      <c r="G19" s="107">
        <f>SUM(G5:G17)</f>
        <v>123559.23300000001</v>
      </c>
      <c r="H19" s="107">
        <f>SUM(H5:H17)</f>
        <v>232370.024</v>
      </c>
      <c r="I19" s="107">
        <f>SUM(I5:I17)</f>
        <v>18408.965</v>
      </c>
      <c r="J19" s="107">
        <f>SUM(J5:J17)</f>
        <v>201710.19500000001</v>
      </c>
      <c r="K19" s="107">
        <f>SUM(K5:K17)</f>
        <v>262418.07900000003</v>
      </c>
      <c r="L19" s="107">
        <f>SUM(L5:L17)</f>
        <v>75463.909</v>
      </c>
      <c r="M19" s="107">
        <f>SUM(M5:M17)</f>
        <v>24704.762000000002</v>
      </c>
      <c r="N19" s="107">
        <f>SUM(N5:N17)</f>
        <v>36138.853999999999</v>
      </c>
      <c r="O19" s="107">
        <f>SUM(O5:O17)</f>
        <v>116083.533</v>
      </c>
      <c r="P19" s="107">
        <f>SUM(C19:O19)</f>
        <v>2086555.3790000007</v>
      </c>
    </row>
    <row r="20" spans="2:16" ht="12.75" customHeight="1">
      <c r="B20" s="107" t="s">
        <v>57</v>
      </c>
      <c r="C20" s="107">
        <f>_xlfn.IFNA(INDEX('2010'!$C$6:$S$55,MATCH(C$4,'2010'!$B$6:$B$55,0),MATCH($B20,'2010'!$C$1:$S$1,0)),0)</f>
        <v>53862.032999999996</v>
      </c>
      <c r="D20" s="107">
        <f>_xlfn.IFNA(INDEX('2010'!$C$6:$S$55,MATCH(D$4,'2010'!$B$6:$B$55,0),MATCH($B20,'2010'!$C$1:$S$1,0)),0)</f>
        <v>588419.77899999998</v>
      </c>
      <c r="E20" s="107">
        <f>_xlfn.IFNA(INDEX('2010'!$C$6:$S$55,MATCH(E$4,'2010'!$B$6:$B$55,0),MATCH($B20,'2010'!$C$1:$S$1,0)),0)</f>
        <v>89446.138000000006</v>
      </c>
      <c r="F20" s="107">
        <f>_xlfn.IFNA(INDEX('2010'!$C$6:$S$55,MATCH(F$4,'2010'!$B$6:$B$55,0),MATCH($B20,'2010'!$C$1:$S$1,0)),0)</f>
        <v>272879.16200000001</v>
      </c>
      <c r="G20" s="107">
        <f>_xlfn.IFNA(INDEX('2010'!$C$6:$S$55,MATCH(G$4,'2010'!$B$6:$B$55,0),MATCH($B20,'2010'!$C$1:$S$1,0)),0)</f>
        <v>123559.23300000001</v>
      </c>
      <c r="H20" s="107">
        <f>_xlfn.IFNA(INDEX('2010'!$C$6:$S$55,MATCH(H$4,'2010'!$B$6:$B$55,0),MATCH($B20,'2010'!$C$1:$S$1,0)),0)</f>
        <v>232432.842</v>
      </c>
      <c r="I20" s="107">
        <f>_xlfn.IFNA(INDEX('2010'!$C$6:$S$55,MATCH(I$4,'2010'!$B$6:$B$55,0),MATCH($B20,'2010'!$C$1:$S$1,0)),0)</f>
        <v>18503.191999999999</v>
      </c>
      <c r="J20" s="107">
        <f>_xlfn.IFNA(INDEX('2010'!$C$6:$S$55,MATCH(J$4,'2010'!$B$6:$B$55,0),MATCH($B20,'2010'!$C$1:$S$1,0)),0)</f>
        <v>201710.19500000001</v>
      </c>
      <c r="K20" s="107">
        <f>_xlfn.IFNA(INDEX('2010'!$C$6:$S$55,MATCH(K$4,'2010'!$B$6:$B$55,0),MATCH($B20,'2010'!$C$1:$S$1,0)),0)</f>
        <v>262458.24100000004</v>
      </c>
      <c r="L20" s="107">
        <f>_xlfn.IFNA(INDEX('2010'!$C$6:$S$55,MATCH(L$4,'2010'!$B$6:$B$55,0),MATCH($B20,'2010'!$C$1:$S$1,0)),0)</f>
        <v>75463.908999999985</v>
      </c>
      <c r="M20" s="107">
        <f>_xlfn.IFNA(INDEX('2010'!$C$6:$S$55,MATCH(M$4,'2010'!$B$6:$B$55,0),MATCH($B20,'2010'!$C$1:$S$1,0)),0)</f>
        <v>24704.761999999999</v>
      </c>
      <c r="N20" s="107">
        <f>_xlfn.IFNA(INDEX('2010'!$C$6:$S$55,MATCH(N$4,'2010'!$B$6:$B$55,0),MATCH($B20,'2010'!$C$1:$S$1,0)),0)</f>
        <v>36138.853999999999</v>
      </c>
      <c r="O20" s="107">
        <f>_xlfn.IFNA(INDEX('2010'!$C$6:$S$55,MATCH(O$4,'2010'!$B$6:$B$55,0),MATCH($B20,'2010'!$C$1:$S$1,0)),0)</f>
        <v>116123.679</v>
      </c>
      <c r="P20" s="107">
        <f>SUM(C20:O20)</f>
        <v>2095702.0190000001</v>
      </c>
    </row>
    <row r="21" spans="2:16" ht="12.75" customHeight="1">
      <c r="B21"/>
      <c r="C21"/>
      <c r="D21"/>
      <c r="E21"/>
      <c r="F21"/>
      <c r="G21"/>
      <c r="H21"/>
    </row>
    <row r="22" spans="2:16" ht="12.75" customHeight="1" thickBot="1">
      <c r="B22" s="400"/>
      <c r="C22" s="400"/>
      <c r="D22" s="400"/>
      <c r="E22" s="400"/>
      <c r="F22" s="400"/>
      <c r="G22" s="400"/>
      <c r="H22" s="571"/>
      <c r="I22" s="400"/>
      <c r="J22" s="580"/>
      <c r="K22" s="580"/>
      <c r="L22" s="580"/>
      <c r="M22" s="580"/>
      <c r="N22" s="400"/>
      <c r="O22" s="400"/>
      <c r="P22" s="400"/>
    </row>
    <row r="24" spans="2:16" ht="12.75" customHeight="1">
      <c r="B24" s="104">
        <v>2015</v>
      </c>
      <c r="E24" s="257"/>
      <c r="F24" s="257"/>
      <c r="G24" s="257"/>
      <c r="I24" s="257"/>
      <c r="J24" s="257"/>
      <c r="L24" s="257"/>
      <c r="M24" s="257"/>
      <c r="N24" s="257"/>
      <c r="P24" s="115" t="s">
        <v>166</v>
      </c>
    </row>
    <row r="25" spans="2:16" ht="12.75" customHeight="1">
      <c r="B25" s="257" t="s">
        <v>379</v>
      </c>
      <c r="C25" s="108" t="s">
        <v>367</v>
      </c>
      <c r="D25" s="108" t="s">
        <v>349</v>
      </c>
      <c r="E25" s="108" t="s">
        <v>350</v>
      </c>
      <c r="F25" s="108" t="s">
        <v>351</v>
      </c>
      <c r="G25" s="108" t="s">
        <v>352</v>
      </c>
      <c r="H25" s="108" t="s">
        <v>260</v>
      </c>
      <c r="I25" s="108" t="s">
        <v>353</v>
      </c>
      <c r="J25" s="108" t="s">
        <v>354</v>
      </c>
      <c r="K25" s="108" t="s">
        <v>355</v>
      </c>
      <c r="L25" s="108" t="s">
        <v>356</v>
      </c>
      <c r="M25" s="108" t="s">
        <v>357</v>
      </c>
      <c r="N25" s="108" t="s">
        <v>215</v>
      </c>
      <c r="O25" s="108" t="s">
        <v>358</v>
      </c>
      <c r="P25" s="109" t="s">
        <v>57</v>
      </c>
    </row>
    <row r="26" spans="2:16" ht="12.75" customHeight="1">
      <c r="B26" s="116" t="s">
        <v>55</v>
      </c>
      <c r="C26" s="107">
        <f>_xlfn.IFNA(INDEX('2015'!$C$6:$R$55,MATCH(C$4,'2015'!$B$6:$B$55,0),MATCH($B26,'2015'!$C$1:$R$1,0)),0)</f>
        <v>0</v>
      </c>
      <c r="D26" s="107">
        <f>_xlfn.IFNA(INDEX('2015'!$C$6:$R$55,MATCH(D$4,'2015'!$B$6:$B$55,0),MATCH($B26,'2015'!$C$1:$R$1,0)),0)</f>
        <v>41000.930999999997</v>
      </c>
      <c r="E26" s="107">
        <f>_xlfn.IFNA(INDEX('2015'!$C$6:$R$55,MATCH(E$4,'2015'!$B$6:$B$55,0),MATCH($B26,'2015'!$C$1:$R$1,0)),0)</f>
        <v>1343.058</v>
      </c>
      <c r="F26" s="107">
        <f>_xlfn.IFNA(INDEX('2015'!$C$6:$R$55,MATCH(F$4,'2015'!$B$6:$B$55,0),MATCH($B26,'2015'!$C$1:$R$1,0)),0)</f>
        <v>57791.9</v>
      </c>
      <c r="G26" s="107">
        <f>_xlfn.IFNA(INDEX('2015'!$C$6:$R$55,MATCH(G$4,'2015'!$B$6:$B$55,0),MATCH($B26,'2015'!$C$1:$R$1,0)),0)</f>
        <v>126.816</v>
      </c>
      <c r="H26" s="107">
        <f>_xlfn.IFNA(INDEX('2015'!$C$6:$R$55,MATCH(H$4,'2015'!$B$6:$B$55,0),MATCH($B26,'2015'!$C$1:$R$1,0)),0)</f>
        <v>336.67700000000002</v>
      </c>
      <c r="I26" s="107">
        <f>_xlfn.IFNA(INDEX('2015'!$C$6:$R$55,MATCH(I$4,'2015'!$B$6:$B$55,0),MATCH($B26,'2015'!$C$1:$R$1,0)),0)</f>
        <v>2557.4859999999999</v>
      </c>
      <c r="J26" s="107">
        <f>_xlfn.IFNA(INDEX('2015'!$C$6:$R$55,MATCH(J$4,'2015'!$B$6:$B$55,0),MATCH($B26,'2015'!$C$1:$R$1,0)),0)</f>
        <v>8783.3140000000003</v>
      </c>
      <c r="K26" s="107">
        <f>_xlfn.IFNA(INDEX('2015'!$C$6:$R$55,MATCH(K$4,'2015'!$B$6:$B$55,0),MATCH($B26,'2015'!$C$1:$R$1,0)),0)</f>
        <v>15391.97</v>
      </c>
      <c r="L26" s="107">
        <f>_xlfn.IFNA(INDEX('2015'!$C$6:$R$55,MATCH(L$4,'2015'!$B$6:$B$55,0),MATCH($B26,'2015'!$C$1:$R$1,0)),0)</f>
        <v>0</v>
      </c>
      <c r="M26" s="107">
        <f>_xlfn.IFNA(INDEX('2015'!$C$6:$R$55,MATCH(M$4,'2015'!$B$6:$B$55,0),MATCH($B26,'2015'!$C$1:$R$1,0)),0)</f>
        <v>253.63200000000001</v>
      </c>
      <c r="N26" s="107">
        <f>_xlfn.IFNA(INDEX('2015'!$C$6:$R$55,MATCH(N$4,'2015'!$B$6:$B$55,0),MATCH($B26,'2015'!$C$1:$R$1,0)),0)</f>
        <v>0</v>
      </c>
      <c r="O26" s="107">
        <f>_xlfn.IFNA(INDEX('2015'!$C$6:$R$55,MATCH(O$4,'2015'!$B$6:$B$55,0),MATCH($B26,'2015'!$C$1:$R$1,0)),0)</f>
        <v>107.63500000000001</v>
      </c>
      <c r="P26" s="107">
        <f>SUM(C26:O26)</f>
        <v>127693.41899999999</v>
      </c>
    </row>
    <row r="27" spans="2:16" ht="12.75" customHeight="1">
      <c r="B27" s="116" t="s">
        <v>54</v>
      </c>
      <c r="C27" s="107">
        <f>_xlfn.IFNA(INDEX('2015'!$C$6:$R$55,MATCH(C$4,'2015'!$B$6:$B$55,0),MATCH($B27,'2015'!$C$1:$R$1,0)),0)</f>
        <v>0</v>
      </c>
      <c r="D27" s="107">
        <f>_xlfn.IFNA(INDEX('2015'!$C$6:$R$55,MATCH(D$4,'2015'!$B$6:$B$55,0),MATCH($B27,'2015'!$C$1:$R$1,0)),0)</f>
        <v>53525.79</v>
      </c>
      <c r="E27" s="107">
        <f>_xlfn.IFNA(INDEX('2015'!$C$6:$R$55,MATCH(E$4,'2015'!$B$6:$B$55,0),MATCH($B27,'2015'!$C$1:$R$1,0)),0)</f>
        <v>1222.05</v>
      </c>
      <c r="F27" s="107">
        <f>_xlfn.IFNA(INDEX('2015'!$C$6:$R$55,MATCH(F$4,'2015'!$B$6:$B$55,0),MATCH($B27,'2015'!$C$1:$R$1,0)),0)</f>
        <v>3462.4749999999999</v>
      </c>
      <c r="G27" s="107">
        <f>_xlfn.IFNA(INDEX('2015'!$C$6:$R$55,MATCH(G$4,'2015'!$B$6:$B$55,0),MATCH($B27,'2015'!$C$1:$R$1,0)),0)</f>
        <v>0</v>
      </c>
      <c r="H27" s="107">
        <f>_xlfn.IFNA(INDEX('2015'!$C$6:$R$55,MATCH(H$4,'2015'!$B$6:$B$55,0),MATCH($B27,'2015'!$C$1:$R$1,0)),0)</f>
        <v>40.734999999999999</v>
      </c>
      <c r="I27" s="107">
        <f>_xlfn.IFNA(INDEX('2015'!$C$6:$R$55,MATCH(I$4,'2015'!$B$6:$B$55,0),MATCH($B27,'2015'!$C$1:$R$1,0)),0)</f>
        <v>40.734999999999999</v>
      </c>
      <c r="J27" s="107">
        <f>_xlfn.IFNA(INDEX('2015'!$C$6:$R$55,MATCH(J$4,'2015'!$B$6:$B$55,0),MATCH($B27,'2015'!$C$1:$R$1,0)),0)</f>
        <v>1059.1099999999999</v>
      </c>
      <c r="K27" s="107">
        <f>_xlfn.IFNA(INDEX('2015'!$C$6:$R$55,MATCH(K$4,'2015'!$B$6:$B$55,0),MATCH($B27,'2015'!$C$1:$R$1,0)),0)</f>
        <v>366.61500000000001</v>
      </c>
      <c r="L27" s="107">
        <f>_xlfn.IFNA(INDEX('2015'!$C$6:$R$55,MATCH(L$4,'2015'!$B$6:$B$55,0),MATCH($B27,'2015'!$C$1:$R$1,0)),0)</f>
        <v>40.734999999999999</v>
      </c>
      <c r="M27" s="107">
        <f>_xlfn.IFNA(INDEX('2015'!$C$6:$R$55,MATCH(M$4,'2015'!$B$6:$B$55,0),MATCH($B27,'2015'!$C$1:$R$1,0)),0)</f>
        <v>81.47</v>
      </c>
      <c r="N27" s="107">
        <f>_xlfn.IFNA(INDEX('2015'!$C$6:$R$55,MATCH(N$4,'2015'!$B$6:$B$55,0),MATCH($B27,'2015'!$C$1:$R$1,0)),0)</f>
        <v>0</v>
      </c>
      <c r="O27" s="107">
        <f>_xlfn.IFNA(INDEX('2015'!$C$6:$R$55,MATCH(O$4,'2015'!$B$6:$B$55,0),MATCH($B27,'2015'!$C$1:$R$1,0)),0)</f>
        <v>81.47</v>
      </c>
      <c r="P27" s="107">
        <f t="shared" ref="P27:P32" si="1">SUM(C27:O27)</f>
        <v>59921.185000000005</v>
      </c>
    </row>
    <row r="28" spans="2:16" ht="12.75" customHeight="1">
      <c r="B28" s="116" t="s">
        <v>68</v>
      </c>
      <c r="C28" s="107">
        <f>_xlfn.IFNA(INDEX('2015'!$C$6:$R$55,MATCH(C$4,'2015'!$B$6:$B$55,0),MATCH($B28,'2015'!$C$1:$R$1,0)),0)</f>
        <v>0</v>
      </c>
      <c r="D28" s="107">
        <f>_xlfn.IFNA(INDEX('2015'!$C$6:$R$55,MATCH(D$4,'2015'!$B$6:$B$55,0),MATCH($B28,'2015'!$C$1:$R$1,0)),0)</f>
        <v>813.46600000000001</v>
      </c>
      <c r="E28" s="107">
        <f>_xlfn.IFNA(INDEX('2015'!$C$6:$R$55,MATCH(E$4,'2015'!$B$6:$B$55,0),MATCH($B28,'2015'!$C$1:$R$1,0)),0)</f>
        <v>642.21</v>
      </c>
      <c r="F28" s="107">
        <f>_xlfn.IFNA(INDEX('2015'!$C$6:$R$55,MATCH(F$4,'2015'!$B$6:$B$55,0),MATCH($B28,'2015'!$C$1:$R$1,0)),0)</f>
        <v>3339.4920000000002</v>
      </c>
      <c r="G28" s="107">
        <f>_xlfn.IFNA(INDEX('2015'!$C$6:$R$55,MATCH(G$4,'2015'!$B$6:$B$55,0),MATCH($B28,'2015'!$C$1:$R$1,0)),0)</f>
        <v>1626.932</v>
      </c>
      <c r="H28" s="107">
        <f>_xlfn.IFNA(INDEX('2015'!$C$6:$R$55,MATCH(H$4,'2015'!$B$6:$B$55,0),MATCH($B28,'2015'!$C$1:$R$1,0)),0)</f>
        <v>8263.1020000000008</v>
      </c>
      <c r="I28" s="107">
        <f>_xlfn.IFNA(INDEX('2015'!$C$6:$R$55,MATCH(I$4,'2015'!$B$6:$B$55,0),MATCH($B28,'2015'!$C$1:$R$1,0)),0)</f>
        <v>642.21</v>
      </c>
      <c r="J28" s="107">
        <f>_xlfn.IFNA(INDEX('2015'!$C$6:$R$55,MATCH(J$4,'2015'!$B$6:$B$55,0),MATCH($B28,'2015'!$C$1:$R$1,0)),0)</f>
        <v>6464.9139999999998</v>
      </c>
      <c r="K28" s="107">
        <f>_xlfn.IFNA(INDEX('2015'!$C$6:$R$55,MATCH(K$4,'2015'!$B$6:$B$55,0),MATCH($B28,'2015'!$C$1:$R$1,0)),0)</f>
        <v>1070.3499999999999</v>
      </c>
      <c r="L28" s="107">
        <f>_xlfn.IFNA(INDEX('2015'!$C$6:$R$55,MATCH(L$4,'2015'!$B$6:$B$55,0),MATCH($B28,'2015'!$C$1:$R$1,0)),0)</f>
        <v>470.95400000000001</v>
      </c>
      <c r="M28" s="107">
        <f>_xlfn.IFNA(INDEX('2015'!$C$6:$R$55,MATCH(M$4,'2015'!$B$6:$B$55,0),MATCH($B28,'2015'!$C$1:$R$1,0)),0)</f>
        <v>813.46600000000001</v>
      </c>
      <c r="N28" s="107">
        <f>_xlfn.IFNA(INDEX('2015'!$C$6:$R$55,MATCH(N$4,'2015'!$B$6:$B$55,0),MATCH($B28,'2015'!$C$1:$R$1,0)),0)</f>
        <v>0</v>
      </c>
      <c r="O28" s="107">
        <f>_xlfn.IFNA(INDEX('2015'!$C$6:$R$55,MATCH(O$4,'2015'!$B$6:$B$55,0),MATCH($B28,'2015'!$C$1:$R$1,0)),0)</f>
        <v>3896.0740000000001</v>
      </c>
      <c r="P28" s="107">
        <f t="shared" si="1"/>
        <v>28043.170000000002</v>
      </c>
    </row>
    <row r="29" spans="2:16" ht="12.75" customHeight="1">
      <c r="B29" s="116" t="s">
        <v>79</v>
      </c>
      <c r="C29" s="107">
        <f>_xlfn.IFNA(INDEX('2015'!$C$6:$R$55,MATCH(C$4,'2015'!$B$6:$B$55,0),MATCH($B29,'2015'!$C$1:$R$1,0)),0)</f>
        <v>0</v>
      </c>
      <c r="D29" s="107">
        <f>_xlfn.IFNA(INDEX('2015'!$C$6:$R$55,MATCH(D$4,'2015'!$B$6:$B$55,0),MATCH($B29,'2015'!$C$1:$R$1,0)),0)</f>
        <v>0</v>
      </c>
      <c r="E29" s="107">
        <f>_xlfn.IFNA(INDEX('2015'!$C$6:$R$55,MATCH(E$4,'2015'!$B$6:$B$55,0),MATCH($B29,'2015'!$C$1:$R$1,0)),0)</f>
        <v>0</v>
      </c>
      <c r="F29" s="107">
        <f>_xlfn.IFNA(INDEX('2015'!$C$6:$R$55,MATCH(F$4,'2015'!$B$6:$B$55,0),MATCH($B29,'2015'!$C$1:$R$1,0)),0)</f>
        <v>0</v>
      </c>
      <c r="G29" s="107">
        <f>_xlfn.IFNA(INDEX('2015'!$C$6:$R$55,MATCH(G$4,'2015'!$B$6:$B$55,0),MATCH($B29,'2015'!$C$1:$R$1,0)),0)</f>
        <v>0</v>
      </c>
      <c r="H29" s="107">
        <f>_xlfn.IFNA(INDEX('2015'!$C$6:$R$55,MATCH(H$4,'2015'!$B$6:$B$55,0),MATCH($B29,'2015'!$C$1:$R$1,0)),0)</f>
        <v>0</v>
      </c>
      <c r="I29" s="107">
        <f>_xlfn.IFNA(INDEX('2015'!$C$6:$R$55,MATCH(I$4,'2015'!$B$6:$B$55,0),MATCH($B29,'2015'!$C$1:$R$1,0)),0)</f>
        <v>0</v>
      </c>
      <c r="J29" s="107">
        <f>_xlfn.IFNA(INDEX('2015'!$C$6:$R$55,MATCH(J$4,'2015'!$B$6:$B$55,0),MATCH($B29,'2015'!$C$1:$R$1,0)),0)</f>
        <v>0</v>
      </c>
      <c r="K29" s="107">
        <f>_xlfn.IFNA(INDEX('2015'!$C$6:$R$55,MATCH(K$4,'2015'!$B$6:$B$55,0),MATCH($B29,'2015'!$C$1:$R$1,0)),0)</f>
        <v>0</v>
      </c>
      <c r="L29" s="107">
        <f>_xlfn.IFNA(INDEX('2015'!$C$6:$R$55,MATCH(L$4,'2015'!$B$6:$B$55,0),MATCH($B29,'2015'!$C$1:$R$1,0)),0)</f>
        <v>0</v>
      </c>
      <c r="M29" s="107">
        <f>_xlfn.IFNA(INDEX('2015'!$C$6:$R$55,MATCH(M$4,'2015'!$B$6:$B$55,0),MATCH($B29,'2015'!$C$1:$R$1,0)),0)</f>
        <v>0</v>
      </c>
      <c r="N29" s="107">
        <f>_xlfn.IFNA(INDEX('2015'!$C$6:$R$55,MATCH(N$4,'2015'!$B$6:$B$55,0),MATCH($B29,'2015'!$C$1:$R$1,0)),0)</f>
        <v>0</v>
      </c>
      <c r="O29" s="107">
        <f>_xlfn.IFNA(INDEX('2015'!$C$6:$R$55,MATCH(O$4,'2015'!$B$6:$B$55,0),MATCH($B29,'2015'!$C$1:$R$1,0)),0)</f>
        <v>0</v>
      </c>
      <c r="P29" s="107">
        <f t="shared" si="1"/>
        <v>0</v>
      </c>
    </row>
    <row r="30" spans="2:16" ht="12.75" customHeight="1">
      <c r="B30" s="116" t="s">
        <v>53</v>
      </c>
      <c r="C30" s="107">
        <f>_xlfn.IFNA(INDEX('2015'!$C$6:$R$55,MATCH(C$4,'2015'!$B$6:$B$55,0),MATCH($B30,'2015'!$C$1:$R$1,0)),0)</f>
        <v>0</v>
      </c>
      <c r="D30" s="107">
        <f>_xlfn.IFNA(INDEX('2015'!$C$6:$R$55,MATCH(D$4,'2015'!$B$6:$B$55,0),MATCH($B30,'2015'!$C$1:$R$1,0)),0)</f>
        <v>0</v>
      </c>
      <c r="E30" s="107">
        <f>_xlfn.IFNA(INDEX('2015'!$C$6:$R$55,MATCH(E$4,'2015'!$B$6:$B$55,0),MATCH($B30,'2015'!$C$1:$R$1,0)),0)</f>
        <v>90.731999999999999</v>
      </c>
      <c r="F30" s="107">
        <f>_xlfn.IFNA(INDEX('2015'!$C$6:$R$55,MATCH(F$4,'2015'!$B$6:$B$55,0),MATCH($B30,'2015'!$C$1:$R$1,0)),0)</f>
        <v>453.66</v>
      </c>
      <c r="G30" s="107">
        <f>_xlfn.IFNA(INDEX('2015'!$C$6:$R$55,MATCH(G$4,'2015'!$B$6:$B$55,0),MATCH($B30,'2015'!$C$1:$R$1,0)),0)</f>
        <v>136.09800000000001</v>
      </c>
      <c r="H30" s="107">
        <f>_xlfn.IFNA(INDEX('2015'!$C$6:$R$55,MATCH(H$4,'2015'!$B$6:$B$55,0),MATCH($B30,'2015'!$C$1:$R$1,0)),0)</f>
        <v>1497.078</v>
      </c>
      <c r="I30" s="107">
        <f>_xlfn.IFNA(INDEX('2015'!$C$6:$R$55,MATCH(I$4,'2015'!$B$6:$B$55,0),MATCH($B30,'2015'!$C$1:$R$1,0)),0)</f>
        <v>317.56200000000001</v>
      </c>
      <c r="J30" s="107">
        <f>_xlfn.IFNA(INDEX('2015'!$C$6:$R$55,MATCH(J$4,'2015'!$B$6:$B$55,0),MATCH($B30,'2015'!$C$1:$R$1,0)),0)</f>
        <v>226.83</v>
      </c>
      <c r="K30" s="107">
        <f>_xlfn.IFNA(INDEX('2015'!$C$6:$R$55,MATCH(K$4,'2015'!$B$6:$B$55,0),MATCH($B30,'2015'!$C$1:$R$1,0)),0)</f>
        <v>680.49</v>
      </c>
      <c r="L30" s="107">
        <f>_xlfn.IFNA(INDEX('2015'!$C$6:$R$55,MATCH(L$4,'2015'!$B$6:$B$55,0),MATCH($B30,'2015'!$C$1:$R$1,0)),0)</f>
        <v>45.366</v>
      </c>
      <c r="M30" s="107">
        <f>_xlfn.IFNA(INDEX('2015'!$C$6:$R$55,MATCH(M$4,'2015'!$B$6:$B$55,0),MATCH($B30,'2015'!$C$1:$R$1,0)),0)</f>
        <v>45.366</v>
      </c>
      <c r="N30" s="107">
        <f>_xlfn.IFNA(INDEX('2015'!$C$6:$R$55,MATCH(N$4,'2015'!$B$6:$B$55,0),MATCH($B30,'2015'!$C$1:$R$1,0)),0)</f>
        <v>0</v>
      </c>
      <c r="O30" s="107">
        <f>_xlfn.IFNA(INDEX('2015'!$C$6:$R$55,MATCH(O$4,'2015'!$B$6:$B$55,0),MATCH($B30,'2015'!$C$1:$R$1,0)),0)</f>
        <v>272.19600000000003</v>
      </c>
      <c r="P30" s="107">
        <f t="shared" si="1"/>
        <v>3765.3779999999997</v>
      </c>
    </row>
    <row r="31" spans="2:16" ht="12.75" customHeight="1">
      <c r="B31" s="116" t="s">
        <v>434</v>
      </c>
      <c r="C31" s="107">
        <f>_xlfn.IFNA(INDEX('2015'!$C$6:$R$55,MATCH(C$4,'2015'!$B$6:$B$55,0),MATCH($B31,'2015'!$C$1:$R$1,0)),0)</f>
        <v>0</v>
      </c>
      <c r="D31" s="107">
        <f>_xlfn.IFNA(INDEX('2015'!$C$6:$R$55,MATCH(D$4,'2015'!$B$6:$B$55,0),MATCH($B31,'2015'!$C$1:$R$1,0)),0)</f>
        <v>2525.4</v>
      </c>
      <c r="E31" s="107">
        <f>_xlfn.IFNA(INDEX('2015'!$C$6:$R$55,MATCH(E$4,'2015'!$B$6:$B$55,0),MATCH($B31,'2015'!$C$1:$R$1,0)),0)</f>
        <v>0</v>
      </c>
      <c r="F31" s="107">
        <f>_xlfn.IFNA(INDEX('2015'!$C$6:$R$55,MATCH(F$4,'2015'!$B$6:$B$55,0),MATCH($B31,'2015'!$C$1:$R$1,0)),0)</f>
        <v>0</v>
      </c>
      <c r="G31" s="107">
        <f>_xlfn.IFNA(INDEX('2015'!$C$6:$R$55,MATCH(G$4,'2015'!$B$6:$B$55,0),MATCH($B31,'2015'!$C$1:$R$1,0)),0)</f>
        <v>1664.1</v>
      </c>
      <c r="H31" s="107">
        <f>_xlfn.IFNA(INDEX('2015'!$C$6:$R$55,MATCH(H$4,'2015'!$B$6:$B$55,0),MATCH($B31,'2015'!$C$1:$R$1,0)),0)</f>
        <v>613.79999999999995</v>
      </c>
      <c r="I31" s="107">
        <f>_xlfn.IFNA(INDEX('2015'!$C$6:$R$55,MATCH(I$4,'2015'!$B$6:$B$55,0),MATCH($B31,'2015'!$C$1:$R$1,0)),0)</f>
        <v>0</v>
      </c>
      <c r="J31" s="107">
        <f>_xlfn.IFNA(INDEX('2015'!$C$6:$R$55,MATCH(J$4,'2015'!$B$6:$B$55,0),MATCH($B31,'2015'!$C$1:$R$1,0)),0)</f>
        <v>0</v>
      </c>
      <c r="K31" s="107">
        <f>_xlfn.IFNA(INDEX('2015'!$C$6:$R$55,MATCH(K$4,'2015'!$B$6:$B$55,0),MATCH($B31,'2015'!$C$1:$R$1,0)),0)</f>
        <v>0</v>
      </c>
      <c r="L31" s="107">
        <f>_xlfn.IFNA(INDEX('2015'!$C$6:$R$55,MATCH(L$4,'2015'!$B$6:$B$55,0),MATCH($B31,'2015'!$C$1:$R$1,0)),0)</f>
        <v>0</v>
      </c>
      <c r="M31" s="107">
        <f>_xlfn.IFNA(INDEX('2015'!$C$6:$R$55,MATCH(M$4,'2015'!$B$6:$B$55,0),MATCH($B31,'2015'!$C$1:$R$1,0)),0)</f>
        <v>0</v>
      </c>
      <c r="N31" s="107">
        <f>_xlfn.IFNA(INDEX('2015'!$C$6:$R$55,MATCH(N$4,'2015'!$B$6:$B$55,0),MATCH($B31,'2015'!$C$1:$R$1,0)),0)</f>
        <v>0</v>
      </c>
      <c r="O31" s="107">
        <f>_xlfn.IFNA(INDEX('2015'!$C$6:$R$55,MATCH(O$4,'2015'!$B$6:$B$55,0),MATCH($B31,'2015'!$C$1:$R$1,0)),0)</f>
        <v>21.6</v>
      </c>
      <c r="P31" s="107">
        <f t="shared" si="1"/>
        <v>4824.9000000000005</v>
      </c>
    </row>
    <row r="32" spans="2:16" ht="12.75" customHeight="1">
      <c r="B32" s="116" t="s">
        <v>51</v>
      </c>
      <c r="C32" s="107">
        <f>_xlfn.IFNA(INDEX('2015'!$C$6:$R$55,MATCH(C$4,'2015'!$B$6:$B$55,0),MATCH($B32,'2015'!$C$1:$R$1,0)),0)</f>
        <v>13296.6</v>
      </c>
      <c r="D32" s="107">
        <f>_xlfn.IFNA(INDEX('2015'!$C$6:$R$55,MATCH(D$4,'2015'!$B$6:$B$55,0),MATCH($B32,'2015'!$C$1:$R$1,0)),0)</f>
        <v>218454.02100000001</v>
      </c>
      <c r="E32" s="107">
        <f>_xlfn.IFNA(INDEX('2015'!$C$6:$R$55,MATCH(E$4,'2015'!$B$6:$B$55,0),MATCH($B32,'2015'!$C$1:$R$1,0)),0)</f>
        <v>33843.599999999999</v>
      </c>
      <c r="F32" s="107">
        <f>_xlfn.IFNA(INDEX('2015'!$C$6:$R$55,MATCH(F$4,'2015'!$B$6:$B$55,0),MATCH($B32,'2015'!$C$1:$R$1,0)),0)</f>
        <v>104013</v>
      </c>
      <c r="G32" s="107">
        <f>_xlfn.IFNA(INDEX('2015'!$C$6:$R$55,MATCH(G$4,'2015'!$B$6:$B$55,0),MATCH($B32,'2015'!$C$1:$R$1,0)),0)</f>
        <v>36487.800000000003</v>
      </c>
      <c r="H32" s="107">
        <f>_xlfn.IFNA(INDEX('2015'!$C$6:$R$55,MATCH(H$4,'2015'!$B$6:$B$55,0),MATCH($B32,'2015'!$C$1:$R$1,0)),0)</f>
        <v>71144.100000000006</v>
      </c>
      <c r="I32" s="107">
        <f>_xlfn.IFNA(INDEX('2015'!$C$6:$R$55,MATCH(I$4,'2015'!$B$6:$B$55,0),MATCH($B32,'2015'!$C$1:$R$1,0)),0)</f>
        <v>4308.3</v>
      </c>
      <c r="J32" s="107">
        <f>_xlfn.IFNA(INDEX('2015'!$C$6:$R$55,MATCH(J$4,'2015'!$B$6:$B$55,0),MATCH($B32,'2015'!$C$1:$R$1,0)),0)</f>
        <v>110628.9</v>
      </c>
      <c r="K32" s="107">
        <f>_xlfn.IFNA(INDEX('2015'!$C$6:$R$55,MATCH(K$4,'2015'!$B$6:$B$55,0),MATCH($B32,'2015'!$C$1:$R$1,0)),0)</f>
        <v>86829.3</v>
      </c>
      <c r="L32" s="107">
        <f>_xlfn.IFNA(INDEX('2015'!$C$6:$R$55,MATCH(L$4,'2015'!$B$6:$B$55,0),MATCH($B32,'2015'!$C$1:$R$1,0)),0)</f>
        <v>5130</v>
      </c>
      <c r="M32" s="107">
        <f>_xlfn.IFNA(INDEX('2015'!$C$6:$R$55,MATCH(M$4,'2015'!$B$6:$B$55,0),MATCH($B32,'2015'!$C$1:$R$1,0)),0)</f>
        <v>9849.6</v>
      </c>
      <c r="N32" s="107">
        <f>_xlfn.IFNA(INDEX('2015'!$C$6:$R$55,MATCH(N$4,'2015'!$B$6:$B$55,0),MATCH($B32,'2015'!$C$1:$R$1,0)),0)</f>
        <v>20875.5</v>
      </c>
      <c r="O32" s="107">
        <f>_xlfn.IFNA(INDEX('2015'!$C$6:$R$55,MATCH(O$4,'2015'!$B$6:$B$55,0),MATCH($B32,'2015'!$C$1:$R$1,0)),0)</f>
        <v>31370.048999999999</v>
      </c>
      <c r="P32" s="107">
        <f t="shared" si="1"/>
        <v>746230.77</v>
      </c>
    </row>
    <row r="33" spans="2:19" ht="12.75" customHeight="1">
      <c r="B33" s="116" t="s">
        <v>77</v>
      </c>
      <c r="C33" s="107">
        <f>_xlfn.IFNA(INDEX('2015'!$C$6:$R$55,MATCH(C$4,'2015'!$B$6:$B$55,0),MATCH($B33,'2015'!$C$1:$R$1,0)),0)</f>
        <v>22744</v>
      </c>
      <c r="D33" s="107">
        <f>_xlfn.IFNA(INDEX('2015'!$C$6:$R$55,MATCH(D$4,'2015'!$B$6:$B$55,0),MATCH($B33,'2015'!$C$1:$R$1,0)),0)</f>
        <v>381</v>
      </c>
      <c r="E33" s="107">
        <f>_xlfn.IFNA(INDEX('2015'!$C$6:$R$55,MATCH(E$4,'2015'!$B$6:$B$55,0),MATCH($B33,'2015'!$C$1:$R$1,0)),0)</f>
        <v>13</v>
      </c>
      <c r="F33" s="107">
        <f>_xlfn.IFNA(INDEX('2015'!$C$6:$R$55,MATCH(F$4,'2015'!$B$6:$B$55,0),MATCH($B33,'2015'!$C$1:$R$1,0)),0)</f>
        <v>22</v>
      </c>
      <c r="G33" s="107">
        <f>_xlfn.IFNA(INDEX('2015'!$C$6:$R$55,MATCH(G$4,'2015'!$B$6:$B$55,0),MATCH($B33,'2015'!$C$1:$R$1,0)),0)</f>
        <v>0</v>
      </c>
      <c r="H33" s="107">
        <f>_xlfn.IFNA(INDEX('2015'!$C$6:$R$55,MATCH(H$4,'2015'!$B$6:$B$55,0),MATCH($B33,'2015'!$C$1:$R$1,0)),0)</f>
        <v>371</v>
      </c>
      <c r="I33" s="107">
        <f>_xlfn.IFNA(INDEX('2015'!$C$6:$R$55,MATCH(I$4,'2015'!$B$6:$B$55,0),MATCH($B33,'2015'!$C$1:$R$1,0)),0)</f>
        <v>50</v>
      </c>
      <c r="J33" s="107">
        <f>_xlfn.IFNA(INDEX('2015'!$C$6:$R$55,MATCH(J$4,'2015'!$B$6:$B$55,0),MATCH($B33,'2015'!$C$1:$R$1,0)),0)</f>
        <v>695</v>
      </c>
      <c r="K33" s="107">
        <f>_xlfn.IFNA(INDEX('2015'!$C$6:$R$55,MATCH(K$4,'2015'!$B$6:$B$55,0),MATCH($B33,'2015'!$C$1:$R$1,0)),0)</f>
        <v>924</v>
      </c>
      <c r="L33" s="107">
        <f>_xlfn.IFNA(INDEX('2015'!$C$6:$R$55,MATCH(L$4,'2015'!$B$6:$B$55,0),MATCH($B33,'2015'!$C$1:$R$1,0)),0)</f>
        <v>11</v>
      </c>
      <c r="M33" s="107">
        <f>_xlfn.IFNA(INDEX('2015'!$C$6:$R$55,MATCH(M$4,'2015'!$B$6:$B$55,0),MATCH($B33,'2015'!$C$1:$R$1,0)),0)</f>
        <v>0</v>
      </c>
      <c r="N33" s="107">
        <f>_xlfn.IFNA(INDEX('2015'!$C$6:$R$55,MATCH(N$4,'2015'!$B$6:$B$55,0),MATCH($B33,'2015'!$C$1:$R$1,0)),0)</f>
        <v>0</v>
      </c>
      <c r="O33" s="107">
        <f>_xlfn.IFNA(INDEX('2015'!$C$6:$R$55,MATCH(O$4,'2015'!$B$6:$B$55,0),MATCH($B33,'2015'!$C$1:$R$1,0)),0)</f>
        <v>58</v>
      </c>
      <c r="P33" s="107"/>
      <c r="R33" s="115">
        <v>0.4</v>
      </c>
      <c r="S33" s="115" t="s">
        <v>381</v>
      </c>
    </row>
    <row r="34" spans="2:19" ht="12.75" customHeight="1">
      <c r="B34" s="116" t="s">
        <v>433</v>
      </c>
      <c r="C34" s="107">
        <f>_xlfn.IFNA(INDEX('2015'!$C$6:$R$55,MATCH(C$4,'2015'!$B$6:$B$55,0),MATCH($B34,'2015'!$C$1:$R$1,0)),0)</f>
        <v>354.80099999999999</v>
      </c>
      <c r="D34" s="107">
        <f>_xlfn.IFNA(INDEX('2015'!$C$6:$R$55,MATCH(D$4,'2015'!$B$6:$B$55,0),MATCH($B34,'2015'!$C$1:$R$1,0)),0)</f>
        <v>356.03399999999999</v>
      </c>
      <c r="E34" s="107">
        <f>_xlfn.IFNA(INDEX('2015'!$C$6:$R$55,MATCH(E$4,'2015'!$B$6:$B$55,0),MATCH($B34,'2015'!$C$1:$R$1,0)),0)</f>
        <v>0</v>
      </c>
      <c r="F34" s="107">
        <f>_xlfn.IFNA(INDEX('2015'!$C$6:$R$55,MATCH(F$4,'2015'!$B$6:$B$55,0),MATCH($B34,'2015'!$C$1:$R$1,0)),0)</f>
        <v>152.58600000000001</v>
      </c>
      <c r="G34" s="107">
        <f>_xlfn.IFNA(INDEX('2015'!$C$6:$R$55,MATCH(G$4,'2015'!$B$6:$B$55,0),MATCH($B34,'2015'!$C$1:$R$1,0)),0)</f>
        <v>50.862000000000002</v>
      </c>
      <c r="H34" s="107">
        <f>_xlfn.IFNA(INDEX('2015'!$C$6:$R$55,MATCH(H$4,'2015'!$B$6:$B$55,0),MATCH($B34,'2015'!$C$1:$R$1,0)),0)</f>
        <v>76.293000000000006</v>
      </c>
      <c r="I34" s="107">
        <f>_xlfn.IFNA(INDEX('2015'!$C$6:$R$55,MATCH(I$4,'2015'!$B$6:$B$55,0),MATCH($B34,'2015'!$C$1:$R$1,0)),0)</f>
        <v>0</v>
      </c>
      <c r="J34" s="107">
        <f>_xlfn.IFNA(INDEX('2015'!$C$6:$R$55,MATCH(J$4,'2015'!$B$6:$B$55,0),MATCH($B34,'2015'!$C$1:$R$1,0)),0)</f>
        <v>25.431000000000001</v>
      </c>
      <c r="K34" s="107">
        <f>_xlfn.IFNA(INDEX('2015'!$C$6:$R$55,MATCH(K$4,'2015'!$B$6:$B$55,0),MATCH($B34,'2015'!$C$1:$R$1,0)),0)</f>
        <v>127.155</v>
      </c>
      <c r="L34" s="107">
        <f>_xlfn.IFNA(INDEX('2015'!$C$6:$R$55,MATCH(L$4,'2015'!$B$6:$B$55,0),MATCH($B34,'2015'!$C$1:$R$1,0)),0)</f>
        <v>0</v>
      </c>
      <c r="M34" s="107">
        <f>_xlfn.IFNA(INDEX('2015'!$C$6:$R$55,MATCH(M$4,'2015'!$B$6:$B$55,0),MATCH($B34,'2015'!$C$1:$R$1,0)),0)</f>
        <v>0</v>
      </c>
      <c r="N34" s="107">
        <f>_xlfn.IFNA(INDEX('2015'!$C$6:$R$55,MATCH(N$4,'2015'!$B$6:$B$55,0),MATCH($B34,'2015'!$C$1:$R$1,0)),0)</f>
        <v>0</v>
      </c>
      <c r="O34" s="107">
        <f>_xlfn.IFNA(INDEX('2015'!$C$6:$R$55,MATCH(O$4,'2015'!$B$6:$B$55,0),MATCH($B34,'2015'!$C$1:$R$1,0)),0)</f>
        <v>0</v>
      </c>
      <c r="P34" s="107"/>
    </row>
    <row r="35" spans="2:19" ht="12.75" customHeight="1">
      <c r="B35" s="116" t="s">
        <v>78</v>
      </c>
      <c r="C35" s="107">
        <f>_xlfn.IFNA(INDEX('2015'!$C$6:$R$55,MATCH(C$4,'2015'!$B$6:$B$55,0),MATCH($B35,'2015'!$C$1:$R$1,0)),0)</f>
        <v>4379</v>
      </c>
      <c r="D35" s="107">
        <f>_xlfn.IFNA(INDEX('2015'!$C$6:$R$55,MATCH(D$4,'2015'!$B$6:$B$55,0),MATCH($B35,'2015'!$C$1:$R$1,0)),0)</f>
        <v>1409</v>
      </c>
      <c r="E35" s="107">
        <f>_xlfn.IFNA(INDEX('2015'!$C$6:$R$55,MATCH(E$4,'2015'!$B$6:$B$55,0),MATCH($B35,'2015'!$C$1:$R$1,0)),0)</f>
        <v>0</v>
      </c>
      <c r="F35" s="107">
        <f>_xlfn.IFNA(INDEX('2015'!$C$6:$R$55,MATCH(F$4,'2015'!$B$6:$B$55,0),MATCH($B35,'2015'!$C$1:$R$1,0)),0)</f>
        <v>5787</v>
      </c>
      <c r="G35" s="107">
        <f>_xlfn.IFNA(INDEX('2015'!$C$6:$R$55,MATCH(G$4,'2015'!$B$6:$B$55,0),MATCH($B35,'2015'!$C$1:$R$1,0)),0)</f>
        <v>225</v>
      </c>
      <c r="H35" s="107">
        <f>_xlfn.IFNA(INDEX('2015'!$C$6:$R$55,MATCH(H$4,'2015'!$B$6:$B$55,0),MATCH($B35,'2015'!$C$1:$R$1,0)),0)</f>
        <v>2144</v>
      </c>
      <c r="I35" s="107">
        <f>_xlfn.IFNA(INDEX('2015'!$C$6:$R$55,MATCH(I$4,'2015'!$B$6:$B$55,0),MATCH($B35,'2015'!$C$1:$R$1,0)),0)</f>
        <v>809</v>
      </c>
      <c r="J35" s="107">
        <f>_xlfn.IFNA(INDEX('2015'!$C$6:$R$55,MATCH(J$4,'2015'!$B$6:$B$55,0),MATCH($B35,'2015'!$C$1:$R$1,0)),0)</f>
        <v>1637</v>
      </c>
      <c r="K35" s="107">
        <f>_xlfn.IFNA(INDEX('2015'!$C$6:$R$55,MATCH(K$4,'2015'!$B$6:$B$55,0),MATCH($B35,'2015'!$C$1:$R$1,0)),0)</f>
        <v>22533</v>
      </c>
      <c r="L35" s="107">
        <f>_xlfn.IFNA(INDEX('2015'!$C$6:$R$55,MATCH(L$4,'2015'!$B$6:$B$55,0),MATCH($B35,'2015'!$C$1:$R$1,0)),0)</f>
        <v>50270</v>
      </c>
      <c r="M35" s="107">
        <f>_xlfn.IFNA(INDEX('2015'!$C$6:$R$55,MATCH(M$4,'2015'!$B$6:$B$55,0),MATCH($B35,'2015'!$C$1:$R$1,0)),0)</f>
        <v>96</v>
      </c>
      <c r="N35" s="107">
        <f>_xlfn.IFNA(INDEX('2015'!$C$6:$R$55,MATCH(N$4,'2015'!$B$6:$B$55,0),MATCH($B35,'2015'!$C$1:$R$1,0)),0)</f>
        <v>0</v>
      </c>
      <c r="O35" s="107">
        <f>_xlfn.IFNA(INDEX('2015'!$C$6:$R$55,MATCH(O$4,'2015'!$B$6:$B$55,0),MATCH($B35,'2015'!$C$1:$R$1,0)),0)</f>
        <v>5415</v>
      </c>
      <c r="P35" s="107">
        <f>SUM(C35:O35)</f>
        <v>94704</v>
      </c>
    </row>
    <row r="36" spans="2:19" ht="12.75" customHeight="1">
      <c r="B36" s="116" t="s">
        <v>80</v>
      </c>
      <c r="C36" s="107">
        <f>_xlfn.IFNA(INDEX('2015'!$C$6:$R$55,MATCH(C$4,'2015'!$B$6:$B$55,0),MATCH($B36,'2015'!$C$1:$R$1,0)),0)</f>
        <v>0</v>
      </c>
      <c r="D36" s="107">
        <f>_xlfn.IFNA(INDEX('2015'!$C$6:$R$55,MATCH(D$4,'2015'!$B$6:$B$55,0),MATCH($B36,'2015'!$C$1:$R$1,0)),0)</f>
        <v>8685</v>
      </c>
      <c r="E36" s="107">
        <f>_xlfn.IFNA(INDEX('2015'!$C$6:$R$55,MATCH(E$4,'2015'!$B$6:$B$55,0),MATCH($B36,'2015'!$C$1:$R$1,0)),0)</f>
        <v>256</v>
      </c>
      <c r="F36" s="107">
        <f>_xlfn.IFNA(INDEX('2015'!$C$6:$R$55,MATCH(F$4,'2015'!$B$6:$B$55,0),MATCH($B36,'2015'!$C$1:$R$1,0)),0)</f>
        <v>44429</v>
      </c>
      <c r="G36" s="107">
        <f>_xlfn.IFNA(INDEX('2015'!$C$6:$R$55,MATCH(G$4,'2015'!$B$6:$B$55,0),MATCH($B36,'2015'!$C$1:$R$1,0)),0)</f>
        <v>2</v>
      </c>
      <c r="H36" s="107">
        <f>_xlfn.IFNA(INDEX('2015'!$C$6:$R$55,MATCH(H$4,'2015'!$B$6:$B$55,0),MATCH($B36,'2015'!$C$1:$R$1,0)),0)</f>
        <v>1</v>
      </c>
      <c r="I36" s="107">
        <f>_xlfn.IFNA(INDEX('2015'!$C$6:$R$55,MATCH(I$4,'2015'!$B$6:$B$55,0),MATCH($B36,'2015'!$C$1:$R$1,0)),0)</f>
        <v>0</v>
      </c>
      <c r="J36" s="107">
        <f>_xlfn.IFNA(INDEX('2015'!$C$6:$R$55,MATCH(J$4,'2015'!$B$6:$B$55,0),MATCH($B36,'2015'!$C$1:$R$1,0)),0)</f>
        <v>0</v>
      </c>
      <c r="K36" s="107">
        <f>_xlfn.IFNA(INDEX('2015'!$C$6:$R$55,MATCH(K$4,'2015'!$B$6:$B$55,0),MATCH($B36,'2015'!$C$1:$R$1,0)),0)</f>
        <v>5482</v>
      </c>
      <c r="L36" s="107">
        <f>_xlfn.IFNA(INDEX('2015'!$C$6:$R$55,MATCH(L$4,'2015'!$B$6:$B$55,0),MATCH($B36,'2015'!$C$1:$R$1,0)),0)</f>
        <v>19</v>
      </c>
      <c r="M36" s="107">
        <f>_xlfn.IFNA(INDEX('2015'!$C$6:$R$55,MATCH(M$4,'2015'!$B$6:$B$55,0),MATCH($B36,'2015'!$C$1:$R$1,0)),0)</f>
        <v>0</v>
      </c>
      <c r="N36" s="107">
        <f>_xlfn.IFNA(INDEX('2015'!$C$6:$R$55,MATCH(N$4,'2015'!$B$6:$B$55,0),MATCH($B36,'2015'!$C$1:$R$1,0)),0)</f>
        <v>0</v>
      </c>
      <c r="O36" s="107">
        <f>_xlfn.IFNA(INDEX('2015'!$C$6:$R$55,MATCH(O$4,'2015'!$B$6:$B$55,0),MATCH($B36,'2015'!$C$1:$R$1,0)),0)</f>
        <v>0</v>
      </c>
      <c r="P36" s="107">
        <f t="shared" ref="P36:P39" si="2">SUM(C36:O36)</f>
        <v>58874</v>
      </c>
    </row>
    <row r="37" spans="2:19" ht="12.75" customHeight="1">
      <c r="B37" s="116" t="s">
        <v>50</v>
      </c>
      <c r="C37" s="107">
        <f>_xlfn.IFNA(INDEX('2015'!$C$6:$R$55,MATCH(C$4,'2015'!$B$6:$B$55,0),MATCH($B37,'2015'!$C$1:$R$1,0)),0)</f>
        <v>19940.400000000001</v>
      </c>
      <c r="D37" s="107">
        <f>_xlfn.IFNA(INDEX('2015'!$C$6:$R$55,MATCH(D$4,'2015'!$B$6:$B$55,0),MATCH($B37,'2015'!$C$1:$R$1,0)),0)</f>
        <v>192474</v>
      </c>
      <c r="E37" s="107">
        <f>_xlfn.IFNA(INDEX('2015'!$C$6:$R$55,MATCH(E$4,'2015'!$B$6:$B$55,0),MATCH($B37,'2015'!$C$1:$R$1,0)),0)</f>
        <v>57135.6</v>
      </c>
      <c r="F37" s="107">
        <f>_xlfn.IFNA(INDEX('2015'!$C$6:$R$55,MATCH(F$4,'2015'!$B$6:$B$55,0),MATCH($B37,'2015'!$C$1:$R$1,0)),0)</f>
        <v>44265.599999999999</v>
      </c>
      <c r="G37" s="107">
        <f>_xlfn.IFNA(INDEX('2015'!$C$6:$R$55,MATCH(G$4,'2015'!$B$6:$B$55,0),MATCH($B37,'2015'!$C$1:$R$1,0)),0)</f>
        <v>66654</v>
      </c>
      <c r="H37" s="107">
        <f>_xlfn.IFNA(INDEX('2015'!$C$6:$R$55,MATCH(H$4,'2015'!$B$6:$B$55,0),MATCH($B37,'2015'!$C$1:$R$1,0)),0)</f>
        <v>120315.6</v>
      </c>
      <c r="I37" s="107">
        <f>_xlfn.IFNA(INDEX('2015'!$C$6:$R$55,MATCH(I$4,'2015'!$B$6:$B$55,0),MATCH($B37,'2015'!$C$1:$R$1,0)),0)</f>
        <v>6264</v>
      </c>
      <c r="J37" s="107">
        <f>_xlfn.IFNA(INDEX('2015'!$C$6:$R$55,MATCH(J$4,'2015'!$B$6:$B$55,0),MATCH($B37,'2015'!$C$1:$R$1,0)),0)</f>
        <v>65498.400000000001</v>
      </c>
      <c r="K37" s="107">
        <f>_xlfn.IFNA(INDEX('2015'!$C$6:$R$55,MATCH(K$4,'2015'!$B$6:$B$55,0),MATCH($B37,'2015'!$C$1:$R$1,0)),0)</f>
        <v>76762.8</v>
      </c>
      <c r="L37" s="107">
        <f>_xlfn.IFNA(INDEX('2015'!$C$6:$R$55,MATCH(L$4,'2015'!$B$6:$B$55,0),MATCH($B37,'2015'!$C$1:$R$1,0)),0)</f>
        <v>16171.2</v>
      </c>
      <c r="M37" s="107">
        <f>_xlfn.IFNA(INDEX('2015'!$C$6:$R$55,MATCH(M$4,'2015'!$B$6:$B$55,0),MATCH($B37,'2015'!$C$1:$R$1,0)),0)</f>
        <v>8132.4</v>
      </c>
      <c r="N37" s="107">
        <f>_xlfn.IFNA(INDEX('2015'!$C$6:$R$55,MATCH(N$4,'2015'!$B$6:$B$55,0),MATCH($B37,'2015'!$C$1:$R$1,0)),0)</f>
        <v>14202</v>
      </c>
      <c r="O37" s="107">
        <f>_xlfn.IFNA(INDEX('2015'!$C$6:$R$55,MATCH(O$4,'2015'!$B$6:$B$55,0),MATCH($B37,'2015'!$C$1:$R$1,0)),0)</f>
        <v>62067.6</v>
      </c>
      <c r="P37" s="107">
        <f t="shared" si="2"/>
        <v>749883.6</v>
      </c>
    </row>
    <row r="38" spans="2:19" ht="12.75" customHeight="1">
      <c r="B38" s="117" t="s">
        <v>52</v>
      </c>
      <c r="C38" s="107">
        <f>_xlfn.IFNA(INDEX('2015'!$C$6:$R$55,MATCH(C$4,'2015'!$B$6:$B$55,0),MATCH($B38,'2015'!$C$1:$R$1,0)),0)</f>
        <v>0</v>
      </c>
      <c r="D38" s="107">
        <f>_xlfn.IFNA(INDEX('2015'!$C$6:$R$55,MATCH(D$4,'2015'!$B$6:$B$55,0),MATCH($B38,'2015'!$C$1:$R$1,0)),0)</f>
        <v>97183</v>
      </c>
      <c r="E38" s="107">
        <f>_xlfn.IFNA(INDEX('2015'!$C$6:$R$55,MATCH(E$4,'2015'!$B$6:$B$55,0),MATCH($B38,'2015'!$C$1:$R$1,0)),0)</f>
        <v>1109</v>
      </c>
      <c r="F38" s="107">
        <f>_xlfn.IFNA(INDEX('2015'!$C$6:$R$55,MATCH(F$4,'2015'!$B$6:$B$55,0),MATCH($B38,'2015'!$C$1:$R$1,0)),0)</f>
        <v>775</v>
      </c>
      <c r="G38" s="107">
        <f>_xlfn.IFNA(INDEX('2015'!$C$6:$R$55,MATCH(G$4,'2015'!$B$6:$B$55,0),MATCH($B38,'2015'!$C$1:$R$1,0)),0)</f>
        <v>13440</v>
      </c>
      <c r="H38" s="107">
        <f>_xlfn.IFNA(INDEX('2015'!$C$6:$R$55,MATCH(H$4,'2015'!$B$6:$B$55,0),MATCH($B38,'2015'!$C$1:$R$1,0)),0)</f>
        <v>9929</v>
      </c>
      <c r="I38" s="107">
        <f>_xlfn.IFNA(INDEX('2015'!$C$6:$R$55,MATCH(I$4,'2015'!$B$6:$B$55,0),MATCH($B38,'2015'!$C$1:$R$1,0)),0)</f>
        <v>116</v>
      </c>
      <c r="J38" s="107">
        <f>_xlfn.IFNA(INDEX('2015'!$C$6:$R$55,MATCH(J$4,'2015'!$B$6:$B$55,0),MATCH($B38,'2015'!$C$1:$R$1,0)),0)</f>
        <v>9825</v>
      </c>
      <c r="K38" s="107">
        <f>_xlfn.IFNA(INDEX('2015'!$C$6:$R$55,MATCH(K$4,'2015'!$B$6:$B$55,0),MATCH($B38,'2015'!$C$1:$R$1,0)),0)</f>
        <v>27747</v>
      </c>
      <c r="L38" s="107">
        <f>_xlfn.IFNA(INDEX('2015'!$C$6:$R$55,MATCH(L$4,'2015'!$B$6:$B$55,0),MATCH($B38,'2015'!$C$1:$R$1,0)),0)</f>
        <v>2838</v>
      </c>
      <c r="M38" s="107">
        <f>_xlfn.IFNA(INDEX('2015'!$C$6:$R$55,MATCH(M$4,'2015'!$B$6:$B$55,0),MATCH($B38,'2015'!$C$1:$R$1,0)),0)</f>
        <v>2298</v>
      </c>
      <c r="N38" s="107">
        <f>_xlfn.IFNA(INDEX('2015'!$C$6:$R$55,MATCH(N$4,'2015'!$B$6:$B$55,0),MATCH($B38,'2015'!$C$1:$R$1,0)),0)</f>
        <v>0</v>
      </c>
      <c r="O38" s="107">
        <f>_xlfn.IFNA(INDEX('2015'!$C$6:$R$55,MATCH(O$4,'2015'!$B$6:$B$55,0),MATCH($B38,'2015'!$C$1:$R$1,0)),0)</f>
        <v>6650</v>
      </c>
      <c r="P38" s="107">
        <f t="shared" si="2"/>
        <v>171910</v>
      </c>
    </row>
    <row r="39" spans="2:19" ht="12.75" customHeight="1">
      <c r="B39" s="116" t="s">
        <v>315</v>
      </c>
      <c r="C39" s="107">
        <f t="shared" ref="C39:O39" si="3">SUM(C35:C36)</f>
        <v>4379</v>
      </c>
      <c r="D39" s="107">
        <f t="shared" si="3"/>
        <v>10094</v>
      </c>
      <c r="E39" s="107">
        <f t="shared" si="3"/>
        <v>256</v>
      </c>
      <c r="F39" s="107">
        <f t="shared" si="3"/>
        <v>50216</v>
      </c>
      <c r="G39" s="107">
        <f t="shared" si="3"/>
        <v>227</v>
      </c>
      <c r="H39" s="107">
        <f t="shared" si="3"/>
        <v>2145</v>
      </c>
      <c r="I39" s="107">
        <f t="shared" si="3"/>
        <v>809</v>
      </c>
      <c r="J39" s="107">
        <f t="shared" si="3"/>
        <v>1637</v>
      </c>
      <c r="K39" s="107">
        <f t="shared" si="3"/>
        <v>28015</v>
      </c>
      <c r="L39" s="107">
        <f t="shared" si="3"/>
        <v>50289</v>
      </c>
      <c r="M39" s="107">
        <f t="shared" si="3"/>
        <v>96</v>
      </c>
      <c r="N39" s="107">
        <f t="shared" si="3"/>
        <v>0</v>
      </c>
      <c r="O39" s="107">
        <f t="shared" si="3"/>
        <v>5415</v>
      </c>
      <c r="P39" s="107">
        <f t="shared" si="2"/>
        <v>153578</v>
      </c>
    </row>
    <row r="40" spans="2:19" ht="12.75" customHeight="1">
      <c r="B40" s="107" t="s">
        <v>380</v>
      </c>
      <c r="C40" s="107">
        <f t="shared" ref="C40:O40" si="4">SUM(C26:C38)</f>
        <v>60714.800999999999</v>
      </c>
      <c r="D40" s="107">
        <f t="shared" si="4"/>
        <v>616807.64199999999</v>
      </c>
      <c r="E40" s="107">
        <f t="shared" si="4"/>
        <v>95655.25</v>
      </c>
      <c r="F40" s="107">
        <f t="shared" si="4"/>
        <v>264491.71299999999</v>
      </c>
      <c r="G40" s="107">
        <f t="shared" si="4"/>
        <v>120413.60800000001</v>
      </c>
      <c r="H40" s="107">
        <f t="shared" si="4"/>
        <v>214732.38500000001</v>
      </c>
      <c r="I40" s="107">
        <f t="shared" si="4"/>
        <v>15105.293</v>
      </c>
      <c r="J40" s="107">
        <f t="shared" si="4"/>
        <v>204843.899</v>
      </c>
      <c r="K40" s="107">
        <f t="shared" si="4"/>
        <v>237914.68</v>
      </c>
      <c r="L40" s="107">
        <f t="shared" si="4"/>
        <v>74996.255000000005</v>
      </c>
      <c r="M40" s="107">
        <f t="shared" si="4"/>
        <v>21569.934000000001</v>
      </c>
      <c r="N40" s="107">
        <f t="shared" si="4"/>
        <v>35077.5</v>
      </c>
      <c r="O40" s="107">
        <f t="shared" si="4"/>
        <v>109939.624</v>
      </c>
      <c r="P40" s="107">
        <f>SUM(C40:O40)</f>
        <v>2072262.584</v>
      </c>
    </row>
    <row r="41" spans="2:19" ht="12.75" customHeight="1">
      <c r="B41" s="107" t="s">
        <v>57</v>
      </c>
      <c r="C41" s="107">
        <f>_xlfn.IFNA(INDEX('2010'!$C$6:$S$55,MATCH(C$4,'2010'!$B$6:$B$55,0),MATCH($B41,'2010'!$C$1:$S$1,0)),0)</f>
        <v>53862.032999999996</v>
      </c>
      <c r="D41" s="107">
        <f>_xlfn.IFNA(INDEX('2010'!$C$6:$S$55,MATCH(D$4,'2010'!$B$6:$B$55,0),MATCH($B41,'2010'!$C$1:$S$1,0)),0)</f>
        <v>588419.77899999998</v>
      </c>
      <c r="E41" s="107">
        <f>_xlfn.IFNA(INDEX('2010'!$C$6:$S$55,MATCH(E$4,'2010'!$B$6:$B$55,0),MATCH($B41,'2010'!$C$1:$S$1,0)),0)</f>
        <v>89446.138000000006</v>
      </c>
      <c r="F41" s="107">
        <f>_xlfn.IFNA(INDEX('2010'!$C$6:$S$55,MATCH(F$4,'2010'!$B$6:$B$55,0),MATCH($B41,'2010'!$C$1:$S$1,0)),0)</f>
        <v>272879.16200000001</v>
      </c>
      <c r="G41" s="107">
        <f>_xlfn.IFNA(INDEX('2010'!$C$6:$S$55,MATCH(G$4,'2010'!$B$6:$B$55,0),MATCH($B41,'2010'!$C$1:$S$1,0)),0)</f>
        <v>123559.23300000001</v>
      </c>
      <c r="H41" s="107">
        <f>_xlfn.IFNA(INDEX('2010'!$C$6:$S$55,MATCH(H$4,'2010'!$B$6:$B$55,0),MATCH($B41,'2010'!$C$1:$S$1,0)),0)</f>
        <v>232432.842</v>
      </c>
      <c r="I41" s="107">
        <f>_xlfn.IFNA(INDEX('2010'!$C$6:$S$55,MATCH(I$4,'2010'!$B$6:$B$55,0),MATCH($B41,'2010'!$C$1:$S$1,0)),0)</f>
        <v>18503.191999999999</v>
      </c>
      <c r="J41" s="107">
        <f>_xlfn.IFNA(INDEX('2010'!$C$6:$S$55,MATCH(J$4,'2010'!$B$6:$B$55,0),MATCH($B41,'2010'!$C$1:$S$1,0)),0)</f>
        <v>201710.19500000001</v>
      </c>
      <c r="K41" s="107">
        <f>_xlfn.IFNA(INDEX('2010'!$C$6:$S$55,MATCH(K$4,'2010'!$B$6:$B$55,0),MATCH($B41,'2010'!$C$1:$S$1,0)),0)</f>
        <v>262458.24100000004</v>
      </c>
      <c r="L41" s="107">
        <f>_xlfn.IFNA(INDEX('2010'!$C$6:$S$55,MATCH(L$4,'2010'!$B$6:$B$55,0),MATCH($B41,'2010'!$C$1:$S$1,0)),0)</f>
        <v>75463.908999999985</v>
      </c>
      <c r="M41" s="107">
        <f>_xlfn.IFNA(INDEX('2010'!$C$6:$S$55,MATCH(M$4,'2010'!$B$6:$B$55,0),MATCH($B41,'2010'!$C$1:$S$1,0)),0)</f>
        <v>24704.761999999999</v>
      </c>
      <c r="N41" s="107">
        <f>_xlfn.IFNA(INDEX('2010'!$C$6:$S$55,MATCH(N$4,'2010'!$B$6:$B$55,0),MATCH($B41,'2010'!$C$1:$S$1,0)),0)</f>
        <v>36138.853999999999</v>
      </c>
      <c r="O41" s="107">
        <f>_xlfn.IFNA(INDEX('2010'!$C$6:$S$55,MATCH(O$4,'2010'!$B$6:$B$55,0),MATCH($B41,'2010'!$C$1:$S$1,0)),0)</f>
        <v>116123.679</v>
      </c>
      <c r="P41" s="107">
        <f>SUM(C41:O41)</f>
        <v>2095702.0190000001</v>
      </c>
    </row>
    <row r="45" spans="2:19" ht="12.75" customHeight="1">
      <c r="B45" s="596">
        <v>2019</v>
      </c>
      <c r="P45" s="115" t="s">
        <v>166</v>
      </c>
    </row>
    <row r="46" spans="2:19" ht="12.75" customHeight="1">
      <c r="B46" s="115" t="s">
        <v>379</v>
      </c>
      <c r="C46" s="597" t="s">
        <v>367</v>
      </c>
      <c r="D46" s="597" t="s">
        <v>349</v>
      </c>
      <c r="E46" s="597" t="s">
        <v>350</v>
      </c>
      <c r="F46" s="597" t="s">
        <v>351</v>
      </c>
      <c r="G46" s="597" t="s">
        <v>352</v>
      </c>
      <c r="H46" s="597" t="s">
        <v>260</v>
      </c>
      <c r="I46" s="597" t="s">
        <v>353</v>
      </c>
      <c r="J46" s="597" t="s">
        <v>354</v>
      </c>
      <c r="K46" s="597" t="s">
        <v>355</v>
      </c>
      <c r="L46" s="597" t="s">
        <v>356</v>
      </c>
      <c r="M46" s="597" t="s">
        <v>357</v>
      </c>
      <c r="N46" s="597" t="s">
        <v>215</v>
      </c>
      <c r="O46" s="597" t="s">
        <v>358</v>
      </c>
      <c r="P46" s="598" t="s">
        <v>57</v>
      </c>
    </row>
    <row r="47" spans="2:19" ht="12.75" customHeight="1">
      <c r="B47" s="599" t="s">
        <v>55</v>
      </c>
      <c r="C47" s="107">
        <f>_xlfn.IFNA(INDEX('2019'!$C$6:$R$55,MATCH(C$4,'2019'!$B$6:$B$55,0),MATCH($B47,'2019'!$C$1:$R$1,0)),0)</f>
        <v>0</v>
      </c>
      <c r="D47" s="107">
        <f>_xlfn.IFNA(INDEX('2019'!$C$6:$R$55,MATCH(D$4,'2019'!$B$6:$B$55,0),MATCH($B47,'2019'!$C$1:$R$1,0)),0)</f>
        <v>14652.936</v>
      </c>
      <c r="E47" s="107">
        <f>_xlfn.IFNA(INDEX('2019'!$C$6:$R$55,MATCH(E$4,'2019'!$B$6:$B$55,0),MATCH($B47,'2019'!$C$1:$R$1,0)),0)</f>
        <v>1097.598</v>
      </c>
      <c r="F47" s="107">
        <f>_xlfn.IFNA(INDEX('2019'!$C$6:$R$55,MATCH(F$4,'2019'!$B$6:$B$55,0),MATCH($B47,'2019'!$C$1:$R$1,0)),0)</f>
        <v>53875.453000000001</v>
      </c>
      <c r="G47" s="107">
        <f>_xlfn.IFNA(INDEX('2019'!$C$6:$R$55,MATCH(G$4,'2019'!$B$6:$B$55,0),MATCH($B47,'2019'!$C$1:$R$1,0)),0)</f>
        <v>7161.88</v>
      </c>
      <c r="H47" s="107">
        <f>_xlfn.IFNA(INDEX('2019'!$C$6:$R$55,MATCH(H$4,'2019'!$B$6:$B$55,0),MATCH($B47,'2019'!$C$1:$R$1,0)),0)</f>
        <v>574.64200000000005</v>
      </c>
      <c r="I47" s="107">
        <f>_xlfn.IFNA(INDEX('2019'!$C$6:$R$55,MATCH(I$4,'2019'!$B$6:$B$55,0),MATCH($B47,'2019'!$C$1:$R$1,0)),0)</f>
        <v>2624.08</v>
      </c>
      <c r="J47" s="107">
        <f>_xlfn.IFNA(INDEX('2019'!$C$6:$R$55,MATCH(J$4,'2019'!$B$6:$B$55,0),MATCH($B47,'2019'!$C$1:$R$1,0)),0)</f>
        <v>7846.0739999999996</v>
      </c>
      <c r="K47" s="107">
        <f>_xlfn.IFNA(INDEX('2019'!$C$6:$R$55,MATCH(K$4,'2019'!$B$6:$B$55,0),MATCH($B47,'2019'!$C$1:$R$1,0)),0)</f>
        <v>10776.85</v>
      </c>
      <c r="L47" s="107">
        <f>_xlfn.IFNA(INDEX('2019'!$C$6:$R$55,MATCH(L$4,'2019'!$B$6:$B$55,0),MATCH($B47,'2019'!$C$1:$R$1,0)),0)</f>
        <v>0</v>
      </c>
      <c r="M47" s="107">
        <f>_xlfn.IFNA(INDEX('2019'!$C$6:$R$55,MATCH(M$4,'2019'!$B$6:$B$55,0),MATCH($B47,'2019'!$C$1:$R$1,0)),0)</f>
        <v>180.55199999999999</v>
      </c>
      <c r="N47" s="107">
        <f>_xlfn.IFNA(INDEX('2019'!$C$6:$R$55,MATCH(N$4,'2019'!$B$6:$B$55,0),MATCH($B47,'2019'!$C$1:$R$1,0)),0)</f>
        <v>0</v>
      </c>
      <c r="O47" s="107">
        <f>_xlfn.IFNA(INDEX('2019'!$C$6:$R$55,MATCH(O$4,'2019'!$B$6:$B$55,0),MATCH($B47,'2019'!$C$1:$R$1,0)),0)</f>
        <v>1474.5050000000001</v>
      </c>
      <c r="P47" s="600">
        <f>SUM(C47:O47)</f>
        <v>100264.57</v>
      </c>
    </row>
    <row r="48" spans="2:19" ht="12.75" customHeight="1">
      <c r="B48" s="599" t="s">
        <v>54</v>
      </c>
      <c r="C48" s="107">
        <f>_xlfn.IFNA(INDEX('2019'!$C$6:$R$55,MATCH(C$4,'2019'!$B$6:$B$55,0),MATCH($B48,'2019'!$C$1:$R$1,0)),0)</f>
        <v>0</v>
      </c>
      <c r="D48" s="107">
        <f>_xlfn.IFNA(INDEX('2019'!$C$6:$R$55,MATCH(D$4,'2019'!$B$6:$B$55,0),MATCH($B48,'2019'!$C$1:$R$1,0)),0)</f>
        <v>21139.732</v>
      </c>
      <c r="E48" s="107">
        <f>_xlfn.IFNA(INDEX('2019'!$C$6:$R$55,MATCH(E$4,'2019'!$B$6:$B$55,0),MATCH($B48,'2019'!$C$1:$R$1,0)),0)</f>
        <v>685.83100000000002</v>
      </c>
      <c r="F48" s="107">
        <f>_xlfn.IFNA(INDEX('2019'!$C$6:$R$55,MATCH(F$4,'2019'!$B$6:$B$55,0),MATCH($B48,'2019'!$C$1:$R$1,0)),0)</f>
        <v>2339.8939999999998</v>
      </c>
      <c r="G48" s="107">
        <f>_xlfn.IFNA(INDEX('2019'!$C$6:$R$55,MATCH(G$4,'2019'!$B$6:$B$55,0),MATCH($B48,'2019'!$C$1:$R$1,0)),0)</f>
        <v>0</v>
      </c>
      <c r="H48" s="107">
        <f>_xlfn.IFNA(INDEX('2019'!$C$6:$R$55,MATCH(H$4,'2019'!$B$6:$B$55,0),MATCH($B48,'2019'!$C$1:$R$1,0)),0)</f>
        <v>40.343000000000004</v>
      </c>
      <c r="I48" s="107">
        <f>_xlfn.IFNA(INDEX('2019'!$C$6:$R$55,MATCH(I$4,'2019'!$B$6:$B$55,0),MATCH($B48,'2019'!$C$1:$R$1,0)),0)</f>
        <v>40.343000000000004</v>
      </c>
      <c r="J48" s="107">
        <f>_xlfn.IFNA(INDEX('2019'!$C$6:$R$55,MATCH(J$4,'2019'!$B$6:$B$55,0),MATCH($B48,'2019'!$C$1:$R$1,0)),0)</f>
        <v>1210.29</v>
      </c>
      <c r="K48" s="107">
        <f>_xlfn.IFNA(INDEX('2019'!$C$6:$R$55,MATCH(K$4,'2019'!$B$6:$B$55,0),MATCH($B48,'2019'!$C$1:$R$1,0)),0)</f>
        <v>403.43</v>
      </c>
      <c r="L48" s="107">
        <f>_xlfn.IFNA(INDEX('2019'!$C$6:$R$55,MATCH(L$4,'2019'!$B$6:$B$55,0),MATCH($B48,'2019'!$C$1:$R$1,0)),0)</f>
        <v>40.343000000000004</v>
      </c>
      <c r="M48" s="107">
        <f>_xlfn.IFNA(INDEX('2019'!$C$6:$R$55,MATCH(M$4,'2019'!$B$6:$B$55,0),MATCH($B48,'2019'!$C$1:$R$1,0)),0)</f>
        <v>0</v>
      </c>
      <c r="N48" s="107">
        <f>_xlfn.IFNA(INDEX('2019'!$C$6:$R$55,MATCH(N$4,'2019'!$B$6:$B$55,0),MATCH($B48,'2019'!$C$1:$R$1,0)),0)</f>
        <v>0</v>
      </c>
      <c r="O48" s="107">
        <f>_xlfn.IFNA(INDEX('2019'!$C$6:$R$55,MATCH(O$4,'2019'!$B$6:$B$55,0),MATCH($B48,'2019'!$C$1:$R$1,0)),0)</f>
        <v>40.343000000000004</v>
      </c>
      <c r="P48" s="600">
        <f t="shared" ref="P48:P62" si="5">SUM(C48:O48)</f>
        <v>25940.549000000003</v>
      </c>
    </row>
    <row r="49" spans="2:19" ht="12.75" customHeight="1">
      <c r="B49" s="599" t="s">
        <v>68</v>
      </c>
      <c r="C49" s="107">
        <f>_xlfn.IFNA(INDEX('2019'!$C$6:$R$55,MATCH(C$4,'2019'!$B$6:$B$55,0),MATCH($B49,'2019'!$C$1:$R$1,0)),0)</f>
        <v>77225.672999999995</v>
      </c>
      <c r="D49" s="107">
        <f>_xlfn.IFNA(INDEX('2019'!$C$6:$R$55,MATCH(D$4,'2019'!$B$6:$B$55,0),MATCH($B49,'2019'!$C$1:$R$1,0)),0)</f>
        <v>1588.299</v>
      </c>
      <c r="E49" s="107">
        <f>_xlfn.IFNA(INDEX('2019'!$C$6:$R$55,MATCH(E$4,'2019'!$B$6:$B$55,0),MATCH($B49,'2019'!$C$1:$R$1,0)),0)</f>
        <v>472.197</v>
      </c>
      <c r="F49" s="107">
        <f>_xlfn.IFNA(INDEX('2019'!$C$6:$R$55,MATCH(F$4,'2019'!$B$6:$B$55,0),MATCH($B49,'2019'!$C$1:$R$1,0)),0)</f>
        <v>3176.598</v>
      </c>
      <c r="G49" s="107">
        <f>_xlfn.IFNA(INDEX('2019'!$C$6:$R$55,MATCH(G$4,'2019'!$B$6:$B$55,0),MATCH($B49,'2019'!$C$1:$R$1,0)),0)</f>
        <v>1373.664</v>
      </c>
      <c r="H49" s="107">
        <f>_xlfn.IFNA(INDEX('2019'!$C$6:$R$55,MATCH(H$4,'2019'!$B$6:$B$55,0),MATCH($B49,'2019'!$C$1:$R$1,0)),0)</f>
        <v>7469.2979999999998</v>
      </c>
      <c r="I49" s="107">
        <f>_xlfn.IFNA(INDEX('2019'!$C$6:$R$55,MATCH(I$4,'2019'!$B$6:$B$55,0),MATCH($B49,'2019'!$C$1:$R$1,0)),0)</f>
        <v>729.75900000000001</v>
      </c>
      <c r="J49" s="107">
        <f>_xlfn.IFNA(INDEX('2019'!$C$6:$R$55,MATCH(J$4,'2019'!$B$6:$B$55,0),MATCH($B49,'2019'!$C$1:$R$1,0)),0)</f>
        <v>5365.875</v>
      </c>
      <c r="K49" s="107">
        <f>_xlfn.IFNA(INDEX('2019'!$C$6:$R$55,MATCH(K$4,'2019'!$B$6:$B$55,0),MATCH($B49,'2019'!$C$1:$R$1,0)),0)</f>
        <v>1116.1020000000001</v>
      </c>
      <c r="L49" s="107">
        <f>_xlfn.IFNA(INDEX('2019'!$C$6:$R$55,MATCH(L$4,'2019'!$B$6:$B$55,0),MATCH($B49,'2019'!$C$1:$R$1,0)),0)</f>
        <v>558.05100000000004</v>
      </c>
      <c r="M49" s="107">
        <f>_xlfn.IFNA(INDEX('2019'!$C$6:$R$55,MATCH(M$4,'2019'!$B$6:$B$55,0),MATCH($B49,'2019'!$C$1:$R$1,0)),0)</f>
        <v>558.05100000000004</v>
      </c>
      <c r="N49" s="107">
        <f>_xlfn.IFNA(INDEX('2019'!$C$6:$R$55,MATCH(N$4,'2019'!$B$6:$B$55,0),MATCH($B49,'2019'!$C$1:$R$1,0)),0)</f>
        <v>53229.48</v>
      </c>
      <c r="O49" s="107">
        <f>_xlfn.IFNA(INDEX('2019'!$C$6:$R$55,MATCH(O$4,'2019'!$B$6:$B$55,0),MATCH($B49,'2019'!$C$1:$R$1,0)),0)</f>
        <v>3219.5250000000001</v>
      </c>
      <c r="P49" s="600">
        <f t="shared" si="5"/>
        <v>156082.57200000001</v>
      </c>
    </row>
    <row r="50" spans="2:19" ht="12.75" customHeight="1">
      <c r="B50" s="599" t="s">
        <v>79</v>
      </c>
      <c r="C50" s="107">
        <f>_xlfn.IFNA(INDEX('2019'!$C$6:$R$55,MATCH(C$4,'2019'!$B$6:$B$55,0),MATCH($B50,'2019'!$C$1:$R$1,0)),0)</f>
        <v>2367.7359999999999</v>
      </c>
      <c r="D50" s="107">
        <f>_xlfn.IFNA(INDEX('2019'!$C$6:$R$55,MATCH(D$4,'2019'!$B$6:$B$55,0),MATCH($B50,'2019'!$C$1:$R$1,0)),0)</f>
        <v>0</v>
      </c>
      <c r="E50" s="107">
        <f>_xlfn.IFNA(INDEX('2019'!$C$6:$R$55,MATCH(E$4,'2019'!$B$6:$B$55,0),MATCH($B50,'2019'!$C$1:$R$1,0)),0)</f>
        <v>0</v>
      </c>
      <c r="F50" s="107">
        <f>_xlfn.IFNA(INDEX('2019'!$C$6:$R$55,MATCH(F$4,'2019'!$B$6:$B$55,0),MATCH($B50,'2019'!$C$1:$R$1,0)),0)</f>
        <v>0</v>
      </c>
      <c r="G50" s="107">
        <f>_xlfn.IFNA(INDEX('2019'!$C$6:$R$55,MATCH(G$4,'2019'!$B$6:$B$55,0),MATCH($B50,'2019'!$C$1:$R$1,0)),0)</f>
        <v>0</v>
      </c>
      <c r="H50" s="107">
        <f>_xlfn.IFNA(INDEX('2019'!$C$6:$R$55,MATCH(H$4,'2019'!$B$6:$B$55,0),MATCH($B50,'2019'!$C$1:$R$1,0)),0)</f>
        <v>0</v>
      </c>
      <c r="I50" s="107">
        <f>_xlfn.IFNA(INDEX('2019'!$C$6:$R$55,MATCH(I$4,'2019'!$B$6:$B$55,0),MATCH($B50,'2019'!$C$1:$R$1,0)),0)</f>
        <v>0</v>
      </c>
      <c r="J50" s="107">
        <f>_xlfn.IFNA(INDEX('2019'!$C$6:$R$55,MATCH(J$4,'2019'!$B$6:$B$55,0),MATCH($B50,'2019'!$C$1:$R$1,0)),0)</f>
        <v>0</v>
      </c>
      <c r="K50" s="107">
        <f>_xlfn.IFNA(INDEX('2019'!$C$6:$R$55,MATCH(K$4,'2019'!$B$6:$B$55,0),MATCH($B50,'2019'!$C$1:$R$1,0)),0)</f>
        <v>0</v>
      </c>
      <c r="L50" s="107">
        <f>_xlfn.IFNA(INDEX('2019'!$C$6:$R$55,MATCH(L$4,'2019'!$B$6:$B$55,0),MATCH($B50,'2019'!$C$1:$R$1,0)),0)</f>
        <v>0</v>
      </c>
      <c r="M50" s="107">
        <f>_xlfn.IFNA(INDEX('2019'!$C$6:$R$55,MATCH(M$4,'2019'!$B$6:$B$55,0),MATCH($B50,'2019'!$C$1:$R$1,0)),0)</f>
        <v>0</v>
      </c>
      <c r="N50" s="107">
        <f>_xlfn.IFNA(INDEX('2019'!$C$6:$R$55,MATCH(N$4,'2019'!$B$6:$B$55,0),MATCH($B50,'2019'!$C$1:$R$1,0)),0)</f>
        <v>3086.5129999999999</v>
      </c>
      <c r="O50" s="107">
        <f>_xlfn.IFNA(INDEX('2019'!$C$6:$R$55,MATCH(O$4,'2019'!$B$6:$B$55,0),MATCH($B50,'2019'!$C$1:$R$1,0)),0)</f>
        <v>0</v>
      </c>
      <c r="P50" s="600">
        <f t="shared" si="5"/>
        <v>5454.2489999999998</v>
      </c>
    </row>
    <row r="51" spans="2:19" ht="12.75" customHeight="1">
      <c r="B51" s="599" t="s">
        <v>53</v>
      </c>
      <c r="C51" s="107">
        <f>_xlfn.IFNA(INDEX('2019'!$C$6:$R$55,MATCH(C$4,'2019'!$B$6:$B$55,0),MATCH($B51,'2019'!$C$1:$R$1,0)),0)</f>
        <v>8830.17</v>
      </c>
      <c r="D51" s="107">
        <f>_xlfn.IFNA(INDEX('2019'!$C$6:$R$55,MATCH(D$4,'2019'!$B$6:$B$55,0),MATCH($B51,'2019'!$C$1:$R$1,0)),0)</f>
        <v>0</v>
      </c>
      <c r="E51" s="107">
        <f>_xlfn.IFNA(INDEX('2019'!$C$6:$R$55,MATCH(E$4,'2019'!$B$6:$B$55,0),MATCH($B51,'2019'!$C$1:$R$1,0)),0)</f>
        <v>86.147999999999996</v>
      </c>
      <c r="F51" s="107">
        <f>_xlfn.IFNA(INDEX('2019'!$C$6:$R$55,MATCH(F$4,'2019'!$B$6:$B$55,0),MATCH($B51,'2019'!$C$1:$R$1,0)),0)</f>
        <v>516.88800000000003</v>
      </c>
      <c r="G51" s="107">
        <f>_xlfn.IFNA(INDEX('2019'!$C$6:$R$55,MATCH(G$4,'2019'!$B$6:$B$55,0),MATCH($B51,'2019'!$C$1:$R$1,0)),0)</f>
        <v>215.37</v>
      </c>
      <c r="H51" s="107">
        <f>_xlfn.IFNA(INDEX('2019'!$C$6:$R$55,MATCH(H$4,'2019'!$B$6:$B$55,0),MATCH($B51,'2019'!$C$1:$R$1,0)),0)</f>
        <v>947.62800000000004</v>
      </c>
      <c r="I51" s="107">
        <f>_xlfn.IFNA(INDEX('2019'!$C$6:$R$55,MATCH(I$4,'2019'!$B$6:$B$55,0),MATCH($B51,'2019'!$C$1:$R$1,0)),0)</f>
        <v>129.22200000000001</v>
      </c>
      <c r="J51" s="107">
        <f>_xlfn.IFNA(INDEX('2019'!$C$6:$R$55,MATCH(J$4,'2019'!$B$6:$B$55,0),MATCH($B51,'2019'!$C$1:$R$1,0)),0)</f>
        <v>258.44400000000002</v>
      </c>
      <c r="K51" s="107">
        <f>_xlfn.IFNA(INDEX('2019'!$C$6:$R$55,MATCH(K$4,'2019'!$B$6:$B$55,0),MATCH($B51,'2019'!$C$1:$R$1,0)),0)</f>
        <v>86.147999999999996</v>
      </c>
      <c r="L51" s="107">
        <f>_xlfn.IFNA(INDEX('2019'!$C$6:$R$55,MATCH(L$4,'2019'!$B$6:$B$55,0),MATCH($B51,'2019'!$C$1:$R$1,0)),0)</f>
        <v>43.073999999999998</v>
      </c>
      <c r="M51" s="107">
        <f>_xlfn.IFNA(INDEX('2019'!$C$6:$R$55,MATCH(M$4,'2019'!$B$6:$B$55,0),MATCH($B51,'2019'!$C$1:$R$1,0)),0)</f>
        <v>43.073999999999998</v>
      </c>
      <c r="N51" s="107">
        <f>_xlfn.IFNA(INDEX('2019'!$C$6:$R$55,MATCH(N$4,'2019'!$B$6:$B$55,0),MATCH($B51,'2019'!$C$1:$R$1,0)),0)</f>
        <v>0</v>
      </c>
      <c r="O51" s="107">
        <f>_xlfn.IFNA(INDEX('2019'!$C$6:$R$55,MATCH(O$4,'2019'!$B$6:$B$55,0),MATCH($B51,'2019'!$C$1:$R$1,0)),0)</f>
        <v>430.74</v>
      </c>
      <c r="P51" s="600">
        <f t="shared" si="5"/>
        <v>11586.906000000001</v>
      </c>
    </row>
    <row r="52" spans="2:19" ht="12.75" customHeight="1">
      <c r="B52" s="116" t="s">
        <v>434</v>
      </c>
      <c r="C52" s="107">
        <f>_xlfn.IFNA(INDEX('2019'!$C$6:$R$55,MATCH(C$4,'2019'!$B$6:$B$55,0),MATCH($B52,'2019'!$C$1:$R$1,0)),0)</f>
        <v>0</v>
      </c>
      <c r="D52" s="107">
        <f>_xlfn.IFNA(INDEX('2019'!$C$6:$R$55,MATCH(D$4,'2019'!$B$6:$B$55,0),MATCH($B52,'2019'!$C$1:$R$1,0)),0)</f>
        <v>1692</v>
      </c>
      <c r="E52" s="107">
        <f>_xlfn.IFNA(INDEX('2019'!$C$6:$R$55,MATCH(E$4,'2019'!$B$6:$B$55,0),MATCH($B52,'2019'!$C$1:$R$1,0)),0)</f>
        <v>0</v>
      </c>
      <c r="F52" s="107">
        <f>_xlfn.IFNA(INDEX('2019'!$C$6:$R$55,MATCH(F$4,'2019'!$B$6:$B$55,0),MATCH($B52,'2019'!$C$1:$R$1,0)),0)</f>
        <v>0</v>
      </c>
      <c r="G52" s="107">
        <f>_xlfn.IFNA(INDEX('2019'!$C$6:$R$55,MATCH(G$4,'2019'!$B$6:$B$55,0),MATCH($B52,'2019'!$C$1:$R$1,0)),0)</f>
        <v>1139.4000000000001</v>
      </c>
      <c r="H52" s="107">
        <f>_xlfn.IFNA(INDEX('2019'!$C$6:$R$55,MATCH(H$4,'2019'!$B$6:$B$55,0),MATCH($B52,'2019'!$C$1:$R$1,0)),0)</f>
        <v>365.4</v>
      </c>
      <c r="I52" s="107">
        <f>_xlfn.IFNA(INDEX('2019'!$C$6:$R$55,MATCH(I$4,'2019'!$B$6:$B$55,0),MATCH($B52,'2019'!$C$1:$R$1,0)),0)</f>
        <v>0</v>
      </c>
      <c r="J52" s="107">
        <f>_xlfn.IFNA(INDEX('2019'!$C$6:$R$55,MATCH(J$4,'2019'!$B$6:$B$55,0),MATCH($B52,'2019'!$C$1:$R$1,0)),0)</f>
        <v>0</v>
      </c>
      <c r="K52" s="107">
        <f>_xlfn.IFNA(INDEX('2019'!$C$6:$R$55,MATCH(K$4,'2019'!$B$6:$B$55,0),MATCH($B52,'2019'!$C$1:$R$1,0)),0)</f>
        <v>0</v>
      </c>
      <c r="L52" s="107">
        <f>_xlfn.IFNA(INDEX('2019'!$C$6:$R$55,MATCH(L$4,'2019'!$B$6:$B$55,0),MATCH($B52,'2019'!$C$1:$R$1,0)),0)</f>
        <v>0</v>
      </c>
      <c r="M52" s="107">
        <f>_xlfn.IFNA(INDEX('2019'!$C$6:$R$55,MATCH(M$4,'2019'!$B$6:$B$55,0),MATCH($B52,'2019'!$C$1:$R$1,0)),0)</f>
        <v>0</v>
      </c>
      <c r="N52" s="107">
        <f>_xlfn.IFNA(INDEX('2019'!$C$6:$R$55,MATCH(N$4,'2019'!$B$6:$B$55,0),MATCH($B52,'2019'!$C$1:$R$1,0)),0)</f>
        <v>0</v>
      </c>
      <c r="O52" s="107">
        <f>_xlfn.IFNA(INDEX('2019'!$C$6:$R$55,MATCH(O$4,'2019'!$B$6:$B$55,0),MATCH($B52,'2019'!$C$1:$R$1,0)),0)</f>
        <v>13.5</v>
      </c>
      <c r="P52" s="600">
        <f t="shared" si="5"/>
        <v>3210.3</v>
      </c>
    </row>
    <row r="53" spans="2:19" ht="12.75" customHeight="1">
      <c r="B53" s="599" t="s">
        <v>51</v>
      </c>
      <c r="C53" s="107">
        <f>_xlfn.IFNA(INDEX('2019'!$C$6:$R$55,MATCH(C$4,'2019'!$B$6:$B$55,0),MATCH($B53,'2019'!$C$1:$R$1,0)),0)</f>
        <v>10788.3</v>
      </c>
      <c r="D53" s="107">
        <f>_xlfn.IFNA(INDEX('2019'!$C$6:$R$55,MATCH(D$4,'2019'!$B$6:$B$55,0),MATCH($B53,'2019'!$C$1:$R$1,0)),0)</f>
        <v>222522.37600000002</v>
      </c>
      <c r="E53" s="107">
        <f>_xlfn.IFNA(INDEX('2019'!$C$6:$R$55,MATCH(E$4,'2019'!$B$6:$B$55,0),MATCH($B53,'2019'!$C$1:$R$1,0)),0)</f>
        <v>35464.18</v>
      </c>
      <c r="F53" s="107">
        <f>_xlfn.IFNA(INDEX('2019'!$C$6:$R$55,MATCH(F$4,'2019'!$B$6:$B$55,0),MATCH($B53,'2019'!$C$1:$R$1,0)),0)</f>
        <v>105073.03</v>
      </c>
      <c r="G53" s="107">
        <f>_xlfn.IFNA(INDEX('2019'!$C$6:$R$55,MATCH(G$4,'2019'!$B$6:$B$55,0),MATCH($B53,'2019'!$C$1:$R$1,0)),0)</f>
        <v>36605.161</v>
      </c>
      <c r="H53" s="107">
        <f>_xlfn.IFNA(INDEX('2019'!$C$6:$R$55,MATCH(H$4,'2019'!$B$6:$B$55,0),MATCH($B53,'2019'!$C$1:$R$1,0)),0)</f>
        <v>73810.733999999997</v>
      </c>
      <c r="I53" s="107">
        <f>_xlfn.IFNA(INDEX('2019'!$C$6:$R$55,MATCH(I$4,'2019'!$B$6:$B$55,0),MATCH($B53,'2019'!$C$1:$R$1,0)),0)</f>
        <v>3917.636</v>
      </c>
      <c r="J53" s="107">
        <f>_xlfn.IFNA(INDEX('2019'!$C$6:$R$55,MATCH(J$4,'2019'!$B$6:$B$55,0),MATCH($B53,'2019'!$C$1:$R$1,0)),0)</f>
        <v>116593.553</v>
      </c>
      <c r="K53" s="107">
        <f>_xlfn.IFNA(INDEX('2019'!$C$6:$R$55,MATCH(K$4,'2019'!$B$6:$B$55,0),MATCH($B53,'2019'!$C$1:$R$1,0)),0)</f>
        <v>78489.357000000004</v>
      </c>
      <c r="L53" s="107">
        <f>_xlfn.IFNA(INDEX('2019'!$C$6:$R$55,MATCH(L$4,'2019'!$B$6:$B$55,0),MATCH($B53,'2019'!$C$1:$R$1,0)),0)</f>
        <v>4556.9449999999997</v>
      </c>
      <c r="M53" s="107">
        <f>_xlfn.IFNA(INDEX('2019'!$C$6:$R$55,MATCH(M$4,'2019'!$B$6:$B$55,0),MATCH($B53,'2019'!$C$1:$R$1,0)),0)</f>
        <v>8865.5460000000003</v>
      </c>
      <c r="N53" s="107">
        <f>_xlfn.IFNA(INDEX('2019'!$C$6:$R$55,MATCH(N$4,'2019'!$B$6:$B$55,0),MATCH($B53,'2019'!$C$1:$R$1,0)),0)</f>
        <v>26449.200000000001</v>
      </c>
      <c r="O53" s="107">
        <f>_xlfn.IFNA(INDEX('2019'!$C$6:$R$55,MATCH(O$4,'2019'!$B$6:$B$55,0),MATCH($B53,'2019'!$C$1:$R$1,0)),0)</f>
        <v>31468.631999999998</v>
      </c>
      <c r="P53" s="600">
        <f t="shared" si="5"/>
        <v>754604.64999999991</v>
      </c>
    </row>
    <row r="54" spans="2:19" ht="12.75" customHeight="1">
      <c r="B54" s="599" t="s">
        <v>77</v>
      </c>
      <c r="C54" s="107">
        <f>_xlfn.IFNA(INDEX('2019'!$C$6:$R$55,MATCH(C$4,'2019'!$B$6:$B$55,0),MATCH($B54,'2019'!$C$1:$R$1,0)),0)</f>
        <v>23474</v>
      </c>
      <c r="D54" s="107">
        <f>_xlfn.IFNA(INDEX('2019'!$C$6:$R$55,MATCH(D$4,'2019'!$B$6:$B$55,0),MATCH($B54,'2019'!$C$1:$R$1,0)),0)</f>
        <v>682</v>
      </c>
      <c r="E54" s="107">
        <f>_xlfn.IFNA(INDEX('2019'!$C$6:$R$55,MATCH(E$4,'2019'!$B$6:$B$55,0),MATCH($B54,'2019'!$C$1:$R$1,0)),0)</f>
        <v>10</v>
      </c>
      <c r="F54" s="107">
        <f>_xlfn.IFNA(INDEX('2019'!$C$6:$R$55,MATCH(F$4,'2019'!$B$6:$B$55,0),MATCH($B54,'2019'!$C$1:$R$1,0)),0)</f>
        <v>12</v>
      </c>
      <c r="G54" s="107">
        <f>_xlfn.IFNA(INDEX('2019'!$C$6:$R$55,MATCH(G$4,'2019'!$B$6:$B$55,0),MATCH($B54,'2019'!$C$1:$R$1,0)),0)</f>
        <v>119</v>
      </c>
      <c r="H54" s="107">
        <f>_xlfn.IFNA(INDEX('2019'!$C$6:$R$55,MATCH(H$4,'2019'!$B$6:$B$55,0),MATCH($B54,'2019'!$C$1:$R$1,0)),0)</f>
        <v>103</v>
      </c>
      <c r="I54" s="107">
        <f>_xlfn.IFNA(INDEX('2019'!$C$6:$R$55,MATCH(I$4,'2019'!$B$6:$B$55,0),MATCH($B54,'2019'!$C$1:$R$1,0)),0)</f>
        <v>73</v>
      </c>
      <c r="J54" s="107">
        <f>_xlfn.IFNA(INDEX('2019'!$C$6:$R$55,MATCH(J$4,'2019'!$B$6:$B$55,0),MATCH($B54,'2019'!$C$1:$R$1,0)),0)</f>
        <v>844</v>
      </c>
      <c r="K54" s="107">
        <f>_xlfn.IFNA(INDEX('2019'!$C$6:$R$55,MATCH(K$4,'2019'!$B$6:$B$55,0),MATCH($B54,'2019'!$C$1:$R$1,0)),0)</f>
        <v>1340</v>
      </c>
      <c r="L54" s="107">
        <f>_xlfn.IFNA(INDEX('2019'!$C$6:$R$55,MATCH(L$4,'2019'!$B$6:$B$55,0),MATCH($B54,'2019'!$C$1:$R$1,0)),0)</f>
        <v>5</v>
      </c>
      <c r="M54" s="107">
        <f>_xlfn.IFNA(INDEX('2019'!$C$6:$R$55,MATCH(M$4,'2019'!$B$6:$B$55,0),MATCH($B54,'2019'!$C$1:$R$1,0)),0)</f>
        <v>3</v>
      </c>
      <c r="N54" s="107">
        <f>_xlfn.IFNA(INDEX('2019'!$C$6:$R$55,MATCH(N$4,'2019'!$B$6:$B$55,0),MATCH($B54,'2019'!$C$1:$R$1,0)),0)</f>
        <v>0</v>
      </c>
      <c r="O54" s="107">
        <f>_xlfn.IFNA(INDEX('2019'!$C$6:$R$55,MATCH(O$4,'2019'!$B$6:$B$55,0),MATCH($B54,'2019'!$C$1:$R$1,0)),0)</f>
        <v>136</v>
      </c>
      <c r="P54" s="600">
        <f t="shared" si="5"/>
        <v>26801</v>
      </c>
      <c r="R54" s="115">
        <v>0.5</v>
      </c>
      <c r="S54" s="115" t="s">
        <v>381</v>
      </c>
    </row>
    <row r="55" spans="2:19" ht="12.75" customHeight="1">
      <c r="B55" s="599" t="s">
        <v>433</v>
      </c>
      <c r="C55" s="107">
        <f>_xlfn.IFNA(INDEX('2019'!$C$6:$R$55,MATCH(C$4,'2019'!$B$6:$B$55,0),MATCH($B55,'2019'!$C$1:$R$1,0)),0)</f>
        <v>4423.1379999999999</v>
      </c>
      <c r="D55" s="107">
        <f>_xlfn.IFNA(INDEX('2019'!$C$6:$R$55,MATCH(D$4,'2019'!$B$6:$B$55,0),MATCH($B55,'2019'!$C$1:$R$1,0)),0)</f>
        <v>26.925999999999998</v>
      </c>
      <c r="E55" s="107">
        <f>_xlfn.IFNA(INDEX('2019'!$C$6:$R$55,MATCH(E$4,'2019'!$B$6:$B$55,0),MATCH($B55,'2019'!$C$1:$R$1,0)),0)</f>
        <v>0</v>
      </c>
      <c r="F55" s="107">
        <f>_xlfn.IFNA(INDEX('2019'!$C$6:$R$55,MATCH(F$4,'2019'!$B$6:$B$55,0),MATCH($B55,'2019'!$C$1:$R$1,0)),0)</f>
        <v>242.334</v>
      </c>
      <c r="G55" s="107">
        <f>_xlfn.IFNA(INDEX('2019'!$C$6:$R$55,MATCH(G$4,'2019'!$B$6:$B$55,0),MATCH($B55,'2019'!$C$1:$R$1,0)),0)</f>
        <v>26.925999999999998</v>
      </c>
      <c r="H55" s="107">
        <f>_xlfn.IFNA(INDEX('2019'!$C$6:$R$55,MATCH(H$4,'2019'!$B$6:$B$55,0),MATCH($B55,'2019'!$C$1:$R$1,0)),0)</f>
        <v>80.778000000000006</v>
      </c>
      <c r="I55" s="107">
        <f>_xlfn.IFNA(INDEX('2019'!$C$6:$R$55,MATCH(I$4,'2019'!$B$6:$B$55,0),MATCH($B55,'2019'!$C$1:$R$1,0)),0)</f>
        <v>26.925999999999998</v>
      </c>
      <c r="J55" s="107">
        <f>_xlfn.IFNA(INDEX('2019'!$C$6:$R$55,MATCH(J$4,'2019'!$B$6:$B$55,0),MATCH($B55,'2019'!$C$1:$R$1,0)),0)</f>
        <v>53.851999999999997</v>
      </c>
      <c r="K55" s="107">
        <f>_xlfn.IFNA(INDEX('2019'!$C$6:$R$55,MATCH(K$4,'2019'!$B$6:$B$55,0),MATCH($B55,'2019'!$C$1:$R$1,0)),0)</f>
        <v>134.63</v>
      </c>
      <c r="L55" s="107">
        <f>_xlfn.IFNA(INDEX('2019'!$C$6:$R$55,MATCH(L$4,'2019'!$B$6:$B$55,0),MATCH($B55,'2019'!$C$1:$R$1,0)),0)</f>
        <v>53.851999999999997</v>
      </c>
      <c r="M55" s="107">
        <f>_xlfn.IFNA(INDEX('2019'!$C$6:$R$55,MATCH(M$4,'2019'!$B$6:$B$55,0),MATCH($B55,'2019'!$C$1:$R$1,0)),0)</f>
        <v>0</v>
      </c>
      <c r="N55" s="107">
        <f>_xlfn.IFNA(INDEX('2019'!$C$6:$R$55,MATCH(N$4,'2019'!$B$6:$B$55,0),MATCH($B55,'2019'!$C$1:$R$1,0)),0)</f>
        <v>2099.4290000000001</v>
      </c>
      <c r="O55" s="107">
        <f>_xlfn.IFNA(INDEX('2019'!$C$6:$R$55,MATCH(O$4,'2019'!$B$6:$B$55,0),MATCH($B55,'2019'!$C$1:$R$1,0)),0)</f>
        <v>0</v>
      </c>
      <c r="P55" s="600">
        <f t="shared" si="5"/>
        <v>7168.7910000000011</v>
      </c>
    </row>
    <row r="56" spans="2:19" ht="12.75" customHeight="1">
      <c r="B56" s="599" t="s">
        <v>78</v>
      </c>
      <c r="C56" s="107">
        <f>_xlfn.IFNA(INDEX('2019'!$C$6:$R$55,MATCH(C$4,'2019'!$B$6:$B$55,0),MATCH($B56,'2019'!$C$1:$R$1,0)),0)</f>
        <v>4242</v>
      </c>
      <c r="D56" s="107">
        <f>_xlfn.IFNA(INDEX('2019'!$C$6:$R$55,MATCH(D$4,'2019'!$B$6:$B$55,0),MATCH($B56,'2019'!$C$1:$R$1,0)),0)</f>
        <v>1113</v>
      </c>
      <c r="E56" s="107">
        <f>_xlfn.IFNA(INDEX('2019'!$C$6:$R$55,MATCH(E$4,'2019'!$B$6:$B$55,0),MATCH($B56,'2019'!$C$1:$R$1,0)),0)</f>
        <v>0</v>
      </c>
      <c r="F56" s="107">
        <f>_xlfn.IFNA(INDEX('2019'!$C$6:$R$55,MATCH(F$4,'2019'!$B$6:$B$55,0),MATCH($B56,'2019'!$C$1:$R$1,0)),0)</f>
        <v>6651</v>
      </c>
      <c r="G56" s="107">
        <f>_xlfn.IFNA(INDEX('2019'!$C$6:$R$55,MATCH(G$4,'2019'!$B$6:$B$55,0),MATCH($B56,'2019'!$C$1:$R$1,0)),0)</f>
        <v>318</v>
      </c>
      <c r="H56" s="107">
        <f>_xlfn.IFNA(INDEX('2019'!$C$6:$R$55,MATCH(H$4,'2019'!$B$6:$B$55,0),MATCH($B56,'2019'!$C$1:$R$1,0)),0)</f>
        <v>1258</v>
      </c>
      <c r="I56" s="107">
        <f>_xlfn.IFNA(INDEX('2019'!$C$6:$R$55,MATCH(I$4,'2019'!$B$6:$B$55,0),MATCH($B56,'2019'!$C$1:$R$1,0)),0)</f>
        <v>130</v>
      </c>
      <c r="J56" s="107">
        <f>_xlfn.IFNA(INDEX('2019'!$C$6:$R$55,MATCH(J$4,'2019'!$B$6:$B$55,0),MATCH($B56,'2019'!$C$1:$R$1,0)),0)</f>
        <v>2111</v>
      </c>
      <c r="K56" s="107">
        <f>_xlfn.IFNA(INDEX('2019'!$C$6:$R$55,MATCH(K$4,'2019'!$B$6:$B$55,0),MATCH($B56,'2019'!$C$1:$R$1,0)),0)</f>
        <v>21064</v>
      </c>
      <c r="L56" s="107">
        <f>_xlfn.IFNA(INDEX('2019'!$C$6:$R$55,MATCH(L$4,'2019'!$B$6:$B$55,0),MATCH($B56,'2019'!$C$1:$R$1,0)),0)</f>
        <v>48238</v>
      </c>
      <c r="M56" s="107">
        <f>_xlfn.IFNA(INDEX('2019'!$C$6:$R$55,MATCH(M$4,'2019'!$B$6:$B$55,0),MATCH($B56,'2019'!$C$1:$R$1,0)),0)</f>
        <v>120</v>
      </c>
      <c r="N56" s="107">
        <f>_xlfn.IFNA(INDEX('2019'!$C$6:$R$55,MATCH(N$4,'2019'!$B$6:$B$55,0),MATCH($B56,'2019'!$C$1:$R$1,0)),0)</f>
        <v>0</v>
      </c>
      <c r="O56" s="107">
        <f>_xlfn.IFNA(INDEX('2019'!$C$6:$R$55,MATCH(O$4,'2019'!$B$6:$B$55,0),MATCH($B56,'2019'!$C$1:$R$1,0)),0)</f>
        <v>4616</v>
      </c>
      <c r="P56" s="600">
        <f t="shared" si="5"/>
        <v>89861</v>
      </c>
    </row>
    <row r="57" spans="2:19" ht="12.75" customHeight="1">
      <c r="B57" s="599" t="s">
        <v>80</v>
      </c>
      <c r="C57" s="107">
        <f>_xlfn.IFNA(INDEX('2019'!$C$6:$R$55,MATCH(C$4,'2019'!$B$6:$B$55,0),MATCH($B57,'2019'!$C$1:$R$1,0)),0)</f>
        <v>0</v>
      </c>
      <c r="D57" s="107">
        <f>_xlfn.IFNA(INDEX('2019'!$C$6:$R$55,MATCH(D$4,'2019'!$B$6:$B$55,0),MATCH($B57,'2019'!$C$1:$R$1,0)),0)</f>
        <v>8748</v>
      </c>
      <c r="E57" s="107">
        <f>_xlfn.IFNA(INDEX('2019'!$C$6:$R$55,MATCH(E$4,'2019'!$B$6:$B$55,0),MATCH($B57,'2019'!$C$1:$R$1,0)),0)</f>
        <v>238</v>
      </c>
      <c r="F57" s="107">
        <f>_xlfn.IFNA(INDEX('2019'!$C$6:$R$55,MATCH(F$4,'2019'!$B$6:$B$55,0),MATCH($B57,'2019'!$C$1:$R$1,0)),0)</f>
        <v>53692</v>
      </c>
      <c r="G57" s="107">
        <f>_xlfn.IFNA(INDEX('2019'!$C$6:$R$55,MATCH(G$4,'2019'!$B$6:$B$55,0),MATCH($B57,'2019'!$C$1:$R$1,0)),0)</f>
        <v>0</v>
      </c>
      <c r="H57" s="107">
        <f>_xlfn.IFNA(INDEX('2019'!$C$6:$R$55,MATCH(H$4,'2019'!$B$6:$B$55,0),MATCH($B57,'2019'!$C$1:$R$1,0)),0)</f>
        <v>781</v>
      </c>
      <c r="I57" s="107">
        <f>_xlfn.IFNA(INDEX('2019'!$C$6:$R$55,MATCH(I$4,'2019'!$B$6:$B$55,0),MATCH($B57,'2019'!$C$1:$R$1,0)),0)</f>
        <v>0</v>
      </c>
      <c r="J57" s="107">
        <f>_xlfn.IFNA(INDEX('2019'!$C$6:$R$55,MATCH(J$4,'2019'!$B$6:$B$55,0),MATCH($B57,'2019'!$C$1:$R$1,0)),0)</f>
        <v>0</v>
      </c>
      <c r="K57" s="107">
        <f>_xlfn.IFNA(INDEX('2019'!$C$6:$R$55,MATCH(K$4,'2019'!$B$6:$B$55,0),MATCH($B57,'2019'!$C$1:$R$1,0)),0)</f>
        <v>12446</v>
      </c>
      <c r="L57" s="107">
        <f>_xlfn.IFNA(INDEX('2019'!$C$6:$R$55,MATCH(L$4,'2019'!$B$6:$B$55,0),MATCH($B57,'2019'!$C$1:$R$1,0)),0)</f>
        <v>149</v>
      </c>
      <c r="M57" s="107">
        <f>_xlfn.IFNA(INDEX('2019'!$C$6:$R$55,MATCH(M$4,'2019'!$B$6:$B$55,0),MATCH($B57,'2019'!$C$1:$R$1,0)),0)</f>
        <v>0</v>
      </c>
      <c r="N57" s="107">
        <f>_xlfn.IFNA(INDEX('2019'!$C$6:$R$55,MATCH(N$4,'2019'!$B$6:$B$55,0),MATCH($B57,'2019'!$C$1:$R$1,0)),0)</f>
        <v>0</v>
      </c>
      <c r="O57" s="107">
        <f>_xlfn.IFNA(INDEX('2019'!$C$6:$R$55,MATCH(O$4,'2019'!$B$6:$B$55,0),MATCH($B57,'2019'!$C$1:$R$1,0)),0)</f>
        <v>3</v>
      </c>
      <c r="P57" s="600">
        <f t="shared" si="5"/>
        <v>76057</v>
      </c>
    </row>
    <row r="58" spans="2:19" ht="12.75" customHeight="1">
      <c r="B58" s="599" t="s">
        <v>50</v>
      </c>
      <c r="C58" s="107">
        <f>_xlfn.IFNA(INDEX('2019'!$C$6:$R$55,MATCH(C$4,'2019'!$B$6:$B$55,0),MATCH($B58,'2019'!$C$1:$R$1,0)),0)</f>
        <v>18212.400000000001</v>
      </c>
      <c r="D58" s="107">
        <f>_xlfn.IFNA(INDEX('2019'!$C$6:$R$55,MATCH(D$4,'2019'!$B$6:$B$55,0),MATCH($B58,'2019'!$C$1:$R$1,0)),0)</f>
        <v>189748.8</v>
      </c>
      <c r="E58" s="107">
        <f>_xlfn.IFNA(INDEX('2019'!$C$6:$R$55,MATCH(E$4,'2019'!$B$6:$B$55,0),MATCH($B58,'2019'!$C$1:$R$1,0)),0)</f>
        <v>54954</v>
      </c>
      <c r="F58" s="107">
        <f>_xlfn.IFNA(INDEX('2019'!$C$6:$R$55,MATCH(F$4,'2019'!$B$6:$B$55,0),MATCH($B58,'2019'!$C$1:$R$1,0)),0)</f>
        <v>44971.199999999997</v>
      </c>
      <c r="G58" s="107">
        <f>_xlfn.IFNA(INDEX('2019'!$C$6:$R$55,MATCH(G$4,'2019'!$B$6:$B$55,0),MATCH($B58,'2019'!$C$1:$R$1,0)),0)</f>
        <v>61120.800000000003</v>
      </c>
      <c r="H58" s="107">
        <f>_xlfn.IFNA(INDEX('2019'!$C$6:$R$55,MATCH(H$4,'2019'!$B$6:$B$55,0),MATCH($B58,'2019'!$C$1:$R$1,0)),0)</f>
        <v>118558.8</v>
      </c>
      <c r="I58" s="107">
        <f>_xlfn.IFNA(INDEX('2019'!$C$6:$R$55,MATCH(I$4,'2019'!$B$6:$B$55,0),MATCH($B58,'2019'!$C$1:$R$1,0)),0)</f>
        <v>6440.4</v>
      </c>
      <c r="J58" s="107">
        <f>_xlfn.IFNA(INDEX('2019'!$C$6:$R$55,MATCH(J$4,'2019'!$B$6:$B$55,0),MATCH($B58,'2019'!$C$1:$R$1,0)),0)</f>
        <v>67237.2</v>
      </c>
      <c r="K58" s="107">
        <f>_xlfn.IFNA(INDEX('2019'!$C$6:$R$55,MATCH(K$4,'2019'!$B$6:$B$55,0),MATCH($B58,'2019'!$C$1:$R$1,0)),0)</f>
        <v>71236.800000000003</v>
      </c>
      <c r="L58" s="107">
        <f>_xlfn.IFNA(INDEX('2019'!$C$6:$R$55,MATCH(L$4,'2019'!$B$6:$B$55,0),MATCH($B58,'2019'!$C$1:$R$1,0)),0)</f>
        <v>16434</v>
      </c>
      <c r="M58" s="107">
        <f>_xlfn.IFNA(INDEX('2019'!$C$6:$R$55,MATCH(M$4,'2019'!$B$6:$B$55,0),MATCH($B58,'2019'!$C$1:$R$1,0)),0)</f>
        <v>7005.6</v>
      </c>
      <c r="N58" s="107">
        <f>_xlfn.IFNA(INDEX('2019'!$C$6:$R$55,MATCH(N$4,'2019'!$B$6:$B$55,0),MATCH($B58,'2019'!$C$1:$R$1,0)),0)</f>
        <v>17344.8</v>
      </c>
      <c r="O58" s="107">
        <f>_xlfn.IFNA(INDEX('2019'!$C$6:$R$55,MATCH(O$4,'2019'!$B$6:$B$55,0),MATCH($B58,'2019'!$C$1:$R$1,0)),0)</f>
        <v>60969.599999999999</v>
      </c>
      <c r="P58" s="600">
        <f t="shared" si="5"/>
        <v>734234.4</v>
      </c>
    </row>
    <row r="59" spans="2:19" ht="12.75" customHeight="1">
      <c r="B59" s="597" t="s">
        <v>52</v>
      </c>
      <c r="C59" s="107">
        <f>_xlfn.IFNA(INDEX('2019'!$C$6:$R$55,MATCH(C$4,'2019'!$B$6:$B$55,0),MATCH($B59,'2019'!$C$1:$R$1,0)),0)</f>
        <v>0</v>
      </c>
      <c r="D59" s="107">
        <f>_xlfn.IFNA(INDEX('2019'!$C$6:$R$55,MATCH(D$4,'2019'!$B$6:$B$55,0),MATCH($B59,'2019'!$C$1:$R$1,0)),0)</f>
        <v>105172</v>
      </c>
      <c r="E59" s="107">
        <f>_xlfn.IFNA(INDEX('2019'!$C$6:$R$55,MATCH(E$4,'2019'!$B$6:$B$55,0),MATCH($B59,'2019'!$C$1:$R$1,0)),0)</f>
        <v>1131</v>
      </c>
      <c r="F59" s="107">
        <f>_xlfn.IFNA(INDEX('2019'!$C$6:$R$55,MATCH(F$4,'2019'!$B$6:$B$55,0),MATCH($B59,'2019'!$C$1:$R$1,0)),0)</f>
        <v>889</v>
      </c>
      <c r="G59" s="107">
        <f>_xlfn.IFNA(INDEX('2019'!$C$6:$R$55,MATCH(G$4,'2019'!$B$6:$B$55,0),MATCH($B59,'2019'!$C$1:$R$1,0)),0)</f>
        <v>12126</v>
      </c>
      <c r="H59" s="107">
        <f>_xlfn.IFNA(INDEX('2019'!$C$6:$R$55,MATCH(H$4,'2019'!$B$6:$B$55,0),MATCH($B59,'2019'!$C$1:$R$1,0)),0)</f>
        <v>10178</v>
      </c>
      <c r="I59" s="107">
        <f>_xlfn.IFNA(INDEX('2019'!$C$6:$R$55,MATCH(I$4,'2019'!$B$6:$B$55,0),MATCH($B59,'2019'!$C$1:$R$1,0)),0)</f>
        <v>194</v>
      </c>
      <c r="J59" s="107">
        <f>_xlfn.IFNA(INDEX('2019'!$C$6:$R$55,MATCH(J$4,'2019'!$B$6:$B$55,0),MATCH($B59,'2019'!$C$1:$R$1,0)),0)</f>
        <v>11956</v>
      </c>
      <c r="K59" s="107">
        <f>_xlfn.IFNA(INDEX('2019'!$C$6:$R$55,MATCH(K$4,'2019'!$B$6:$B$55,0),MATCH($B59,'2019'!$C$1:$R$1,0)),0)</f>
        <v>26801</v>
      </c>
      <c r="L59" s="107">
        <f>_xlfn.IFNA(INDEX('2019'!$C$6:$R$55,MATCH(L$4,'2019'!$B$6:$B$55,0),MATCH($B59,'2019'!$C$1:$R$1,0)),0)</f>
        <v>2227</v>
      </c>
      <c r="M59" s="107">
        <f>_xlfn.IFNA(INDEX('2019'!$C$6:$R$55,MATCH(M$4,'2019'!$B$6:$B$55,0),MATCH($B59,'2019'!$C$1:$R$1,0)),0)</f>
        <v>544</v>
      </c>
      <c r="N59" s="107">
        <f>_xlfn.IFNA(INDEX('2019'!$C$6:$R$55,MATCH(N$4,'2019'!$B$6:$B$55,0),MATCH($B59,'2019'!$C$1:$R$1,0)),0)</f>
        <v>0</v>
      </c>
      <c r="O59" s="107">
        <f>_xlfn.IFNA(INDEX('2019'!$C$6:$R$55,MATCH(O$4,'2019'!$B$6:$B$55,0),MATCH($B59,'2019'!$C$1:$R$1,0)),0)</f>
        <v>6585</v>
      </c>
      <c r="P59" s="600">
        <f t="shared" si="5"/>
        <v>177803</v>
      </c>
    </row>
    <row r="60" spans="2:19" ht="12.75" customHeight="1">
      <c r="B60" s="601" t="s">
        <v>315</v>
      </c>
      <c r="C60" s="600">
        <v>5457</v>
      </c>
      <c r="D60" s="600">
        <v>8246</v>
      </c>
      <c r="E60" s="600">
        <v>312</v>
      </c>
      <c r="F60" s="600">
        <v>39305</v>
      </c>
      <c r="G60" s="600">
        <v>239</v>
      </c>
      <c r="H60" s="600">
        <v>1656</v>
      </c>
      <c r="I60" s="600">
        <v>571</v>
      </c>
      <c r="J60" s="600">
        <v>1568</v>
      </c>
      <c r="K60" s="600">
        <v>41843</v>
      </c>
      <c r="L60" s="600">
        <v>45952</v>
      </c>
      <c r="M60" s="600">
        <v>88</v>
      </c>
      <c r="N60" s="600">
        <v>0</v>
      </c>
      <c r="O60" s="600">
        <v>3990</v>
      </c>
      <c r="P60" s="600">
        <f t="shared" si="5"/>
        <v>149227</v>
      </c>
    </row>
    <row r="61" spans="2:19" ht="12.75" customHeight="1">
      <c r="B61" s="600" t="s">
        <v>380</v>
      </c>
      <c r="C61" s="600">
        <v>53862</v>
      </c>
      <c r="D61" s="600">
        <v>571721</v>
      </c>
      <c r="E61" s="600">
        <v>87781</v>
      </c>
      <c r="F61" s="600">
        <v>265527</v>
      </c>
      <c r="G61" s="600">
        <v>123209</v>
      </c>
      <c r="H61" s="600">
        <v>232370</v>
      </c>
      <c r="I61" s="600">
        <v>18409</v>
      </c>
      <c r="J61" s="600">
        <v>201710</v>
      </c>
      <c r="K61" s="600">
        <v>262418</v>
      </c>
      <c r="L61" s="600">
        <v>75464</v>
      </c>
      <c r="M61" s="600">
        <v>24705</v>
      </c>
      <c r="N61" s="600">
        <v>36139</v>
      </c>
      <c r="O61" s="600">
        <v>113616</v>
      </c>
      <c r="P61" s="600">
        <f t="shared" si="5"/>
        <v>2066931</v>
      </c>
    </row>
    <row r="62" spans="2:19" ht="12.75" customHeight="1">
      <c r="B62" s="600" t="s">
        <v>57</v>
      </c>
      <c r="C62" s="600">
        <v>53862</v>
      </c>
      <c r="D62" s="600">
        <v>588420</v>
      </c>
      <c r="E62" s="600">
        <v>89446</v>
      </c>
      <c r="F62" s="600">
        <v>272879</v>
      </c>
      <c r="G62" s="600">
        <v>123559</v>
      </c>
      <c r="H62" s="600">
        <v>232433</v>
      </c>
      <c r="I62" s="600">
        <v>18503</v>
      </c>
      <c r="J62" s="600">
        <v>201710</v>
      </c>
      <c r="K62" s="600">
        <v>262458</v>
      </c>
      <c r="L62" s="600">
        <v>75464</v>
      </c>
      <c r="M62" s="600">
        <v>24705</v>
      </c>
      <c r="N62" s="600">
        <v>36139</v>
      </c>
      <c r="O62" s="600">
        <v>116124</v>
      </c>
      <c r="P62" s="600">
        <f t="shared" si="5"/>
        <v>2095702</v>
      </c>
    </row>
  </sheetData>
  <hyperlinks>
    <hyperlink ref="H1"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42"/>
  <sheetViews>
    <sheetView zoomScale="130" zoomScaleNormal="130" workbookViewId="0">
      <selection activeCell="A4" sqref="A4"/>
    </sheetView>
  </sheetViews>
  <sheetFormatPr baseColWidth="10" defaultColWidth="8.83203125" defaultRowHeight="15"/>
  <cols>
    <col min="1" max="1" width="8.83203125" style="357"/>
    <col min="2" max="2" width="19.1640625" style="357" customWidth="1"/>
    <col min="3" max="4" width="8.1640625" style="357" bestFit="1" customWidth="1"/>
    <col min="5" max="16384" width="8.83203125" style="357"/>
  </cols>
  <sheetData>
    <row r="2" spans="1:40">
      <c r="A2" s="357" t="s">
        <v>300</v>
      </c>
      <c r="B2" s="536" t="str">
        <f t="shared" ref="B2:AM2" si="0">B9</f>
        <v xml:space="preserve">Agriculture, forestry and fishing </v>
      </c>
      <c r="C2" s="536" t="str">
        <f t="shared" si="0"/>
        <v xml:space="preserve">Agriculture, forestry and fishing </v>
      </c>
      <c r="D2" s="536" t="str">
        <f t="shared" si="0"/>
        <v xml:space="preserve">Agriculture, forestry and fishing </v>
      </c>
      <c r="E2" s="536" t="str">
        <f t="shared" si="0"/>
        <v>02 Chemical and petrochemical</v>
      </c>
      <c r="F2" s="536" t="str">
        <f t="shared" si="0"/>
        <v>02 Chemical and petrochemical</v>
      </c>
      <c r="G2" s="536" t="str">
        <f t="shared" si="0"/>
        <v>02 Chemical and petrochemical</v>
      </c>
      <c r="H2" s="536" t="str">
        <f t="shared" si="0"/>
        <v>03 Non-ferrous metal</v>
      </c>
      <c r="I2" s="536" t="str">
        <f t="shared" si="0"/>
        <v>03 Non-ferrous metal</v>
      </c>
      <c r="J2" s="536" t="str">
        <f t="shared" si="0"/>
        <v>03 Non-ferrous metal</v>
      </c>
      <c r="K2" s="536" t="str">
        <f t="shared" si="0"/>
        <v>04 Non-metallic minerals</v>
      </c>
      <c r="L2" s="536" t="str">
        <f t="shared" si="0"/>
        <v>04 Non-metallic minerals</v>
      </c>
      <c r="M2" s="536" t="str">
        <f t="shared" si="0"/>
        <v>04 Non-metallic minerals</v>
      </c>
      <c r="N2" s="536" t="str">
        <f t="shared" si="0"/>
        <v>05 Transport equipment</v>
      </c>
      <c r="O2" s="536" t="str">
        <f t="shared" si="0"/>
        <v>05 Transport equipment</v>
      </c>
      <c r="P2" s="536" t="str">
        <f t="shared" si="0"/>
        <v>05 Transport equipment</v>
      </c>
      <c r="Q2" s="536" t="str">
        <f t="shared" si="0"/>
        <v>06 Machinery</v>
      </c>
      <c r="R2" s="536" t="str">
        <f t="shared" si="0"/>
        <v>06 Machinery</v>
      </c>
      <c r="S2" s="536" t="str">
        <f t="shared" si="0"/>
        <v>06 Machinery</v>
      </c>
      <c r="T2" s="536" t="str">
        <f t="shared" si="0"/>
        <v>07 Mining and quarrying</v>
      </c>
      <c r="U2" s="536" t="str">
        <f t="shared" si="0"/>
        <v>07 Mining and quarrying</v>
      </c>
      <c r="V2" s="536" t="str">
        <f t="shared" si="0"/>
        <v>07 Mining and quarrying</v>
      </c>
      <c r="W2" s="536" t="str">
        <f t="shared" si="0"/>
        <v>08 Food and tobacco</v>
      </c>
      <c r="X2" s="536" t="str">
        <f t="shared" si="0"/>
        <v>08 Food and tobacco</v>
      </c>
      <c r="Y2" s="536" t="str">
        <f t="shared" si="0"/>
        <v>08 Food and tobacco</v>
      </c>
      <c r="Z2" s="536" t="str">
        <f t="shared" si="0"/>
        <v>09 Paper, pulp and printing</v>
      </c>
      <c r="AA2" s="536" t="str">
        <f t="shared" si="0"/>
        <v>09 Paper, pulp and printing</v>
      </c>
      <c r="AB2" s="536" t="str">
        <f t="shared" si="0"/>
        <v>09 Paper, pulp and printing</v>
      </c>
      <c r="AC2" s="536" t="str">
        <f t="shared" si="0"/>
        <v>010 Wood and wood products</v>
      </c>
      <c r="AD2" s="536" t="str">
        <f t="shared" si="0"/>
        <v>010 Wood and wood products</v>
      </c>
      <c r="AE2" s="536" t="str">
        <f t="shared" si="0"/>
        <v>010 Wood and wood products</v>
      </c>
      <c r="AF2" s="536" t="str">
        <f t="shared" si="0"/>
        <v>011 Textile and leather</v>
      </c>
      <c r="AG2" s="536" t="str">
        <f t="shared" si="0"/>
        <v>011 Textile and leather</v>
      </c>
      <c r="AH2" s="536" t="str">
        <f t="shared" si="0"/>
        <v>011 Textile and leather</v>
      </c>
      <c r="AI2" s="536" t="str">
        <f t="shared" si="0"/>
        <v>012 Construction</v>
      </c>
      <c r="AJ2" s="536" t="str">
        <f t="shared" si="0"/>
        <v>012 Construction</v>
      </c>
      <c r="AK2" s="536" t="str">
        <f t="shared" si="0"/>
        <v>012 Construction</v>
      </c>
      <c r="AL2" s="536" t="str">
        <f t="shared" si="0"/>
        <v>013 Non-specified</v>
      </c>
      <c r="AM2" s="536" t="str">
        <f t="shared" si="0"/>
        <v>013 Non-specified</v>
      </c>
      <c r="AN2" s="536" t="str">
        <f>AN9</f>
        <v>013 Non-specified</v>
      </c>
    </row>
    <row r="3" spans="1:40">
      <c r="B3" s="369">
        <v>2010</v>
      </c>
      <c r="C3" s="369">
        <v>2015</v>
      </c>
      <c r="D3" s="369">
        <v>2019</v>
      </c>
      <c r="E3" s="369">
        <v>2010</v>
      </c>
      <c r="F3" s="369">
        <v>2015</v>
      </c>
      <c r="G3" s="369">
        <v>2019</v>
      </c>
      <c r="H3" s="369">
        <v>2010</v>
      </c>
      <c r="I3" s="369">
        <v>2015</v>
      </c>
      <c r="J3" s="369">
        <v>2019</v>
      </c>
      <c r="K3" s="369">
        <v>2010</v>
      </c>
      <c r="L3" s="369">
        <v>2015</v>
      </c>
      <c r="M3" s="369">
        <v>2019</v>
      </c>
      <c r="N3" s="369">
        <v>2010</v>
      </c>
      <c r="O3" s="369">
        <v>2015</v>
      </c>
      <c r="P3" s="369">
        <v>2019</v>
      </c>
      <c r="Q3" s="369">
        <v>2010</v>
      </c>
      <c r="R3" s="369">
        <v>2015</v>
      </c>
      <c r="S3" s="369">
        <v>2019</v>
      </c>
      <c r="T3" s="369">
        <v>2010</v>
      </c>
      <c r="U3" s="369">
        <v>2015</v>
      </c>
      <c r="V3" s="369">
        <v>2019</v>
      </c>
      <c r="W3" s="369">
        <v>2010</v>
      </c>
      <c r="X3" s="369">
        <v>2015</v>
      </c>
      <c r="Y3" s="369">
        <v>2019</v>
      </c>
      <c r="Z3" s="369">
        <v>2010</v>
      </c>
      <c r="AA3" s="369">
        <v>2015</v>
      </c>
      <c r="AB3" s="369">
        <v>2019</v>
      </c>
      <c r="AC3" s="369">
        <v>2010</v>
      </c>
      <c r="AD3" s="369">
        <v>2015</v>
      </c>
      <c r="AE3" s="369">
        <v>2019</v>
      </c>
      <c r="AF3" s="369">
        <v>2010</v>
      </c>
      <c r="AG3" s="369">
        <v>2015</v>
      </c>
      <c r="AH3" s="369">
        <v>2019</v>
      </c>
      <c r="AI3" s="369">
        <v>2010</v>
      </c>
      <c r="AJ3" s="369">
        <v>2015</v>
      </c>
      <c r="AK3" s="369">
        <v>2019</v>
      </c>
      <c r="AL3" s="369">
        <v>2010</v>
      </c>
      <c r="AM3" s="369">
        <v>2015</v>
      </c>
      <c r="AN3" s="369">
        <v>2019</v>
      </c>
    </row>
    <row r="4" spans="1:40">
      <c r="A4" s="523" t="s">
        <v>443</v>
      </c>
      <c r="B4" s="369">
        <v>1</v>
      </c>
      <c r="C4" s="369">
        <v>1</v>
      </c>
      <c r="D4" s="369">
        <v>1</v>
      </c>
      <c r="E4" s="369">
        <v>1</v>
      </c>
      <c r="F4" s="369">
        <v>1</v>
      </c>
      <c r="G4" s="369">
        <v>1</v>
      </c>
      <c r="H4" s="369">
        <v>1</v>
      </c>
      <c r="I4" s="369">
        <v>1</v>
      </c>
      <c r="J4" s="369">
        <v>1</v>
      </c>
      <c r="K4" s="369">
        <v>1</v>
      </c>
      <c r="L4" s="369">
        <v>1</v>
      </c>
      <c r="M4" s="369">
        <v>1</v>
      </c>
      <c r="N4" s="369">
        <v>1</v>
      </c>
      <c r="O4" s="369">
        <v>1</v>
      </c>
      <c r="P4" s="369">
        <v>1</v>
      </c>
      <c r="Q4" s="369">
        <v>1</v>
      </c>
      <c r="R4" s="369">
        <v>1</v>
      </c>
      <c r="S4" s="369">
        <v>1</v>
      </c>
      <c r="T4" s="369">
        <v>1</v>
      </c>
      <c r="U4" s="369">
        <v>1</v>
      </c>
      <c r="V4" s="369">
        <v>1</v>
      </c>
      <c r="W4" s="369">
        <v>1</v>
      </c>
      <c r="X4" s="369">
        <v>1</v>
      </c>
      <c r="Y4" s="369">
        <v>1</v>
      </c>
      <c r="Z4" s="369">
        <v>1</v>
      </c>
      <c r="AA4" s="369">
        <v>1</v>
      </c>
      <c r="AB4" s="369">
        <v>1</v>
      </c>
      <c r="AC4" s="369">
        <v>1</v>
      </c>
      <c r="AD4" s="369">
        <v>1</v>
      </c>
      <c r="AE4" s="369">
        <v>1</v>
      </c>
      <c r="AF4" s="369">
        <v>1</v>
      </c>
      <c r="AG4" s="369">
        <v>1</v>
      </c>
      <c r="AH4" s="369">
        <v>1</v>
      </c>
      <c r="AI4" s="369">
        <v>1</v>
      </c>
      <c r="AJ4" s="369">
        <v>1</v>
      </c>
      <c r="AK4" s="369">
        <v>1</v>
      </c>
      <c r="AL4" s="369">
        <v>1</v>
      </c>
      <c r="AM4" s="369">
        <v>1</v>
      </c>
      <c r="AN4" s="369">
        <v>1</v>
      </c>
    </row>
    <row r="5" spans="1:40">
      <c r="A5" s="385" t="s">
        <v>458</v>
      </c>
      <c r="B5" s="369">
        <v>0</v>
      </c>
      <c r="C5" s="369">
        <v>0</v>
      </c>
      <c r="D5" s="369">
        <v>0</v>
      </c>
      <c r="E5" s="369">
        <v>0</v>
      </c>
      <c r="F5" s="369">
        <v>0</v>
      </c>
      <c r="G5" s="369">
        <v>0</v>
      </c>
      <c r="H5" s="369">
        <v>0</v>
      </c>
      <c r="I5" s="369">
        <v>0</v>
      </c>
      <c r="J5" s="369">
        <v>0</v>
      </c>
      <c r="K5" s="369">
        <v>0</v>
      </c>
      <c r="L5" s="369">
        <v>0</v>
      </c>
      <c r="M5" s="369">
        <v>0</v>
      </c>
      <c r="N5" s="369">
        <v>0</v>
      </c>
      <c r="O5" s="369">
        <v>0</v>
      </c>
      <c r="P5" s="369">
        <v>0</v>
      </c>
      <c r="Q5" s="369">
        <v>0</v>
      </c>
      <c r="R5" s="369">
        <v>0</v>
      </c>
      <c r="S5" s="369">
        <v>0</v>
      </c>
      <c r="T5" s="369">
        <v>0</v>
      </c>
      <c r="U5" s="369">
        <v>0</v>
      </c>
      <c r="V5" s="369">
        <v>0</v>
      </c>
      <c r="W5" s="369">
        <v>0</v>
      </c>
      <c r="X5" s="369">
        <v>0</v>
      </c>
      <c r="Y5" s="369">
        <v>0</v>
      </c>
      <c r="Z5" s="369">
        <v>0</v>
      </c>
      <c r="AA5" s="369">
        <v>0</v>
      </c>
      <c r="AB5" s="369">
        <v>0</v>
      </c>
      <c r="AC5" s="369">
        <v>0</v>
      </c>
      <c r="AD5" s="369">
        <v>0</v>
      </c>
      <c r="AE5" s="369">
        <v>0</v>
      </c>
      <c r="AF5" s="369">
        <v>0</v>
      </c>
      <c r="AG5" s="369">
        <v>0</v>
      </c>
      <c r="AH5" s="369">
        <v>0</v>
      </c>
      <c r="AI5" s="369">
        <v>0</v>
      </c>
      <c r="AJ5" s="369">
        <v>0</v>
      </c>
      <c r="AK5" s="369">
        <v>0</v>
      </c>
      <c r="AL5" s="369">
        <v>0</v>
      </c>
      <c r="AM5" s="369">
        <v>0</v>
      </c>
      <c r="AN5" s="369">
        <v>0</v>
      </c>
    </row>
    <row r="6" spans="1:40">
      <c r="A6" s="523" t="s">
        <v>469</v>
      </c>
      <c r="B6" s="369">
        <v>0</v>
      </c>
      <c r="C6" s="369">
        <v>0</v>
      </c>
      <c r="D6" s="369">
        <v>0</v>
      </c>
      <c r="E6" s="369">
        <v>0</v>
      </c>
      <c r="F6" s="369">
        <v>0</v>
      </c>
      <c r="G6" s="369">
        <v>0</v>
      </c>
      <c r="H6" s="369">
        <v>0</v>
      </c>
      <c r="I6" s="369">
        <v>0</v>
      </c>
      <c r="J6" s="369">
        <v>0</v>
      </c>
      <c r="K6" s="369">
        <v>0</v>
      </c>
      <c r="L6" s="369">
        <v>0</v>
      </c>
      <c r="M6" s="369">
        <v>0</v>
      </c>
      <c r="N6" s="369">
        <v>0</v>
      </c>
      <c r="O6" s="369">
        <v>0</v>
      </c>
      <c r="P6" s="369">
        <v>0</v>
      </c>
      <c r="Q6" s="369">
        <v>0</v>
      </c>
      <c r="R6" s="369">
        <v>0</v>
      </c>
      <c r="S6" s="369">
        <v>0</v>
      </c>
      <c r="T6" s="369">
        <v>0</v>
      </c>
      <c r="U6" s="369">
        <v>0</v>
      </c>
      <c r="V6" s="369">
        <v>0</v>
      </c>
      <c r="W6" s="369">
        <v>0</v>
      </c>
      <c r="X6" s="369">
        <v>0</v>
      </c>
      <c r="Y6" s="369">
        <v>0</v>
      </c>
      <c r="Z6" s="369">
        <v>0</v>
      </c>
      <c r="AA6" s="369">
        <v>0</v>
      </c>
      <c r="AB6" s="369">
        <v>0</v>
      </c>
      <c r="AC6" s="369">
        <v>0</v>
      </c>
      <c r="AD6" s="369">
        <v>0</v>
      </c>
      <c r="AE6" s="369">
        <v>0</v>
      </c>
      <c r="AF6" s="369">
        <v>0</v>
      </c>
      <c r="AG6" s="369">
        <v>0</v>
      </c>
      <c r="AH6" s="369">
        <v>0</v>
      </c>
      <c r="AI6" s="369">
        <v>0</v>
      </c>
      <c r="AJ6" s="369">
        <v>0</v>
      </c>
      <c r="AK6" s="369">
        <v>0</v>
      </c>
      <c r="AL6" s="369">
        <v>0</v>
      </c>
      <c r="AM6" s="369">
        <v>0</v>
      </c>
      <c r="AN6" s="369">
        <v>0</v>
      </c>
    </row>
    <row r="9" spans="1:40">
      <c r="B9" s="420" t="s">
        <v>367</v>
      </c>
      <c r="C9" s="357" t="str">
        <f>B9</f>
        <v xml:space="preserve">Agriculture, forestry and fishing </v>
      </c>
      <c r="D9" s="357" t="str">
        <f>C9</f>
        <v xml:space="preserve">Agriculture, forestry and fishing </v>
      </c>
      <c r="E9" s="357" t="s">
        <v>398</v>
      </c>
      <c r="F9" s="357" t="str">
        <f>E9</f>
        <v>02 Chemical and petrochemical</v>
      </c>
      <c r="G9" s="357" t="str">
        <f>F9</f>
        <v>02 Chemical and petrochemical</v>
      </c>
      <c r="H9" s="357" t="s">
        <v>399</v>
      </c>
      <c r="I9" s="357" t="str">
        <f>H9</f>
        <v>03 Non-ferrous metal</v>
      </c>
      <c r="J9" s="357" t="str">
        <f>I9</f>
        <v>03 Non-ferrous metal</v>
      </c>
      <c r="K9" s="357" t="s">
        <v>400</v>
      </c>
      <c r="L9" s="357" t="str">
        <f>K9</f>
        <v>04 Non-metallic minerals</v>
      </c>
      <c r="M9" s="357" t="str">
        <f>L9</f>
        <v>04 Non-metallic minerals</v>
      </c>
      <c r="N9" s="357" t="s">
        <v>401</v>
      </c>
      <c r="O9" s="357" t="str">
        <f>N9</f>
        <v>05 Transport equipment</v>
      </c>
      <c r="P9" s="357" t="str">
        <f>O9</f>
        <v>05 Transport equipment</v>
      </c>
      <c r="Q9" s="357" t="s">
        <v>402</v>
      </c>
      <c r="R9" s="357" t="str">
        <f>Q9</f>
        <v>06 Machinery</v>
      </c>
      <c r="S9" s="357" t="str">
        <f>R9</f>
        <v>06 Machinery</v>
      </c>
      <c r="T9" s="357" t="s">
        <v>403</v>
      </c>
      <c r="U9" s="357" t="str">
        <f>T9</f>
        <v>07 Mining and quarrying</v>
      </c>
      <c r="V9" s="357" t="str">
        <f>U9</f>
        <v>07 Mining and quarrying</v>
      </c>
      <c r="W9" s="357" t="s">
        <v>404</v>
      </c>
      <c r="X9" s="357" t="str">
        <f>W9</f>
        <v>08 Food and tobacco</v>
      </c>
      <c r="Y9" s="357" t="str">
        <f>X9</f>
        <v>08 Food and tobacco</v>
      </c>
      <c r="Z9" s="357" t="s">
        <v>405</v>
      </c>
      <c r="AA9" s="357" t="str">
        <f>Z9</f>
        <v>09 Paper, pulp and printing</v>
      </c>
      <c r="AB9" s="357" t="str">
        <f>AA9</f>
        <v>09 Paper, pulp and printing</v>
      </c>
      <c r="AC9" s="357" t="s">
        <v>406</v>
      </c>
      <c r="AD9" s="357" t="str">
        <f>AC9</f>
        <v>010 Wood and wood products</v>
      </c>
      <c r="AE9" s="357" t="str">
        <f>AD9</f>
        <v>010 Wood and wood products</v>
      </c>
      <c r="AF9" s="357" t="s">
        <v>407</v>
      </c>
      <c r="AG9" s="357" t="str">
        <f>AF9</f>
        <v>011 Textile and leather</v>
      </c>
      <c r="AH9" s="357" t="str">
        <f>AG9</f>
        <v>011 Textile and leather</v>
      </c>
      <c r="AI9" s="357" t="s">
        <v>408</v>
      </c>
      <c r="AJ9" s="357" t="str">
        <f>AI9</f>
        <v>012 Construction</v>
      </c>
      <c r="AK9" s="357" t="str">
        <f>AJ9</f>
        <v>012 Construction</v>
      </c>
      <c r="AL9" s="357" t="s">
        <v>409</v>
      </c>
      <c r="AM9" s="357" t="str">
        <f>AL9</f>
        <v>013 Non-specified</v>
      </c>
      <c r="AN9" s="357" t="str">
        <f>AM9</f>
        <v>013 Non-specified</v>
      </c>
    </row>
    <row r="14" spans="1:40" s="386" customFormat="1"/>
    <row r="15" spans="1:40" ht="15" customHeight="1">
      <c r="C15" s="615" t="s">
        <v>267</v>
      </c>
      <c r="D15" s="615"/>
      <c r="E15" s="615" t="s">
        <v>268</v>
      </c>
      <c r="F15" s="615"/>
      <c r="G15" s="358"/>
      <c r="H15" s="615" t="s">
        <v>269</v>
      </c>
      <c r="I15" s="615"/>
      <c r="J15" s="615"/>
      <c r="L15" s="615" t="s">
        <v>270</v>
      </c>
      <c r="M15" s="615"/>
      <c r="N15" s="615"/>
      <c r="P15" s="615" t="s">
        <v>271</v>
      </c>
      <c r="Q15" s="615"/>
      <c r="R15" s="615"/>
    </row>
    <row r="16" spans="1:40">
      <c r="A16" s="359"/>
      <c r="C16" s="360">
        <v>2010</v>
      </c>
      <c r="D16" s="360">
        <v>2012</v>
      </c>
      <c r="E16" s="360">
        <v>2010</v>
      </c>
      <c r="F16" s="360">
        <v>2012</v>
      </c>
      <c r="H16" s="360">
        <v>2010</v>
      </c>
      <c r="I16" s="360">
        <v>2012</v>
      </c>
      <c r="J16" s="360">
        <v>2014</v>
      </c>
      <c r="L16" s="360">
        <v>2010</v>
      </c>
      <c r="M16" s="360">
        <v>2012</v>
      </c>
      <c r="N16" s="360">
        <v>2014</v>
      </c>
      <c r="P16" s="360">
        <v>2010</v>
      </c>
      <c r="Q16" s="360">
        <v>2012</v>
      </c>
      <c r="R16" s="360">
        <v>2014</v>
      </c>
    </row>
    <row r="17" spans="1:18">
      <c r="A17" s="617" t="s">
        <v>272</v>
      </c>
      <c r="B17" s="361" t="s">
        <v>273</v>
      </c>
      <c r="C17" s="362">
        <v>738348</v>
      </c>
      <c r="D17" s="362">
        <v>732580</v>
      </c>
      <c r="E17" s="363">
        <v>4079</v>
      </c>
      <c r="F17" s="363">
        <v>3054</v>
      </c>
      <c r="H17" s="362">
        <v>271662</v>
      </c>
      <c r="I17" s="362">
        <v>278352</v>
      </c>
      <c r="J17" s="362">
        <v>284962</v>
      </c>
      <c r="L17" s="362">
        <v>3111</v>
      </c>
      <c r="M17" s="362">
        <v>3304</v>
      </c>
      <c r="N17" s="362">
        <v>3453</v>
      </c>
      <c r="P17" s="362">
        <v>38952</v>
      </c>
      <c r="Q17" s="362">
        <v>41807</v>
      </c>
      <c r="R17" s="362">
        <v>42323</v>
      </c>
    </row>
    <row r="18" spans="1:18">
      <c r="A18" s="617"/>
      <c r="B18" s="361" t="s">
        <v>274</v>
      </c>
      <c r="C18" s="616">
        <v>778396</v>
      </c>
      <c r="D18" s="362"/>
      <c r="E18" s="363">
        <v>31</v>
      </c>
      <c r="F18" s="363">
        <v>57</v>
      </c>
      <c r="H18" s="362">
        <v>536499</v>
      </c>
      <c r="I18" s="362">
        <v>556254</v>
      </c>
      <c r="J18" s="362">
        <v>575757</v>
      </c>
      <c r="L18" s="362">
        <v>5542</v>
      </c>
      <c r="M18" s="362">
        <v>6020</v>
      </c>
      <c r="N18" s="362">
        <v>6390</v>
      </c>
      <c r="P18" s="362">
        <v>41663</v>
      </c>
      <c r="Q18" s="362">
        <v>40509</v>
      </c>
      <c r="R18" s="362">
        <v>49616</v>
      </c>
    </row>
    <row r="19" spans="1:18">
      <c r="A19" s="617"/>
      <c r="B19" s="361" t="s">
        <v>275</v>
      </c>
      <c r="C19" s="616"/>
      <c r="D19" s="362">
        <v>772252</v>
      </c>
      <c r="E19" s="363">
        <v>23</v>
      </c>
      <c r="F19" s="364" t="s">
        <v>276</v>
      </c>
      <c r="H19" s="362">
        <v>586860</v>
      </c>
      <c r="I19" s="362">
        <v>613285</v>
      </c>
      <c r="J19" s="362">
        <v>634463</v>
      </c>
      <c r="L19" s="362">
        <v>4618</v>
      </c>
      <c r="M19" s="362">
        <v>5089</v>
      </c>
      <c r="N19" s="362">
        <v>5484</v>
      </c>
      <c r="P19" s="362">
        <v>30357</v>
      </c>
      <c r="Q19" s="362">
        <v>32379</v>
      </c>
      <c r="R19" s="362">
        <v>35806</v>
      </c>
    </row>
    <row r="20" spans="1:18">
      <c r="A20" s="617"/>
      <c r="B20" s="361" t="s">
        <v>277</v>
      </c>
      <c r="C20" s="362">
        <v>1053545</v>
      </c>
      <c r="D20" s="362">
        <v>1043902</v>
      </c>
      <c r="E20" s="363">
        <v>0</v>
      </c>
      <c r="F20" s="363">
        <v>0</v>
      </c>
      <c r="H20" s="362">
        <v>190709</v>
      </c>
      <c r="I20" s="362">
        <v>192791</v>
      </c>
      <c r="J20" s="362">
        <v>194433</v>
      </c>
      <c r="L20" s="362">
        <v>2104</v>
      </c>
      <c r="M20" s="362">
        <v>2187</v>
      </c>
      <c r="N20" s="362">
        <v>2276</v>
      </c>
      <c r="P20" s="362">
        <v>17113</v>
      </c>
      <c r="Q20" s="362">
        <v>19302</v>
      </c>
      <c r="R20" s="362">
        <v>19846</v>
      </c>
    </row>
    <row r="21" spans="1:18">
      <c r="A21" s="617"/>
      <c r="B21" s="361" t="s">
        <v>278</v>
      </c>
      <c r="C21" s="362">
        <v>1021771</v>
      </c>
      <c r="D21" s="362">
        <v>1003506</v>
      </c>
      <c r="E21" s="363">
        <v>0</v>
      </c>
      <c r="F21" s="363">
        <v>0</v>
      </c>
      <c r="H21" s="362">
        <v>185216</v>
      </c>
      <c r="I21" s="362">
        <v>187147</v>
      </c>
      <c r="J21" s="362">
        <v>187820</v>
      </c>
      <c r="L21" s="362">
        <v>2509</v>
      </c>
      <c r="M21" s="362">
        <v>2640</v>
      </c>
      <c r="N21" s="362">
        <v>2703</v>
      </c>
      <c r="P21" s="362">
        <v>15262</v>
      </c>
      <c r="Q21" s="362">
        <v>16320</v>
      </c>
      <c r="R21" s="362">
        <v>17732</v>
      </c>
    </row>
    <row r="22" spans="1:18">
      <c r="A22" s="617"/>
      <c r="B22" s="361" t="s">
        <v>279</v>
      </c>
      <c r="C22" s="362">
        <v>514576</v>
      </c>
      <c r="D22" s="362">
        <v>508558</v>
      </c>
      <c r="E22" s="363">
        <v>18</v>
      </c>
      <c r="F22" s="364" t="s">
        <v>276</v>
      </c>
      <c r="H22" s="362">
        <v>257673</v>
      </c>
      <c r="I22" s="362">
        <v>265164</v>
      </c>
      <c r="J22" s="362">
        <v>272228</v>
      </c>
      <c r="L22" s="362">
        <v>3522</v>
      </c>
      <c r="M22" s="362">
        <v>3824</v>
      </c>
      <c r="N22" s="362">
        <v>4020</v>
      </c>
      <c r="P22" s="362">
        <v>43314</v>
      </c>
      <c r="Q22" s="362">
        <v>45687</v>
      </c>
      <c r="R22" s="362">
        <v>47588</v>
      </c>
    </row>
    <row r="23" spans="1:18">
      <c r="A23" s="617"/>
      <c r="B23" s="361" t="s">
        <v>280</v>
      </c>
      <c r="C23" s="362">
        <v>410473</v>
      </c>
      <c r="D23" s="362">
        <v>409095</v>
      </c>
      <c r="E23" s="363">
        <v>904</v>
      </c>
      <c r="F23" s="363">
        <v>816</v>
      </c>
      <c r="H23" s="362">
        <v>231286</v>
      </c>
      <c r="I23" s="362">
        <v>236424</v>
      </c>
      <c r="J23" s="362">
        <v>240860</v>
      </c>
      <c r="L23" s="362">
        <v>2687</v>
      </c>
      <c r="M23" s="362">
        <v>2801</v>
      </c>
      <c r="N23" s="362">
        <v>2926</v>
      </c>
      <c r="P23" s="362">
        <v>52676</v>
      </c>
      <c r="Q23" s="362">
        <v>59615</v>
      </c>
      <c r="R23" s="362">
        <v>59933</v>
      </c>
    </row>
    <row r="24" spans="1:18">
      <c r="A24" s="617"/>
      <c r="B24" s="361" t="s">
        <v>281</v>
      </c>
      <c r="C24" s="362">
        <v>250134</v>
      </c>
      <c r="D24" s="362">
        <v>243718</v>
      </c>
      <c r="E24" s="363">
        <v>440</v>
      </c>
      <c r="F24" s="363">
        <v>678</v>
      </c>
      <c r="H24" s="362">
        <v>168231</v>
      </c>
      <c r="I24" s="362">
        <v>170023</v>
      </c>
      <c r="J24" s="362">
        <v>171469</v>
      </c>
      <c r="L24" s="362">
        <v>2040</v>
      </c>
      <c r="M24" s="362">
        <v>2185</v>
      </c>
      <c r="N24" s="362">
        <v>2264</v>
      </c>
      <c r="P24" s="362">
        <v>34478</v>
      </c>
      <c r="Q24" s="362">
        <v>33228</v>
      </c>
      <c r="R24" s="362">
        <v>34083</v>
      </c>
    </row>
    <row r="25" spans="1:18">
      <c r="A25" s="617"/>
      <c r="B25" s="361" t="s">
        <v>282</v>
      </c>
      <c r="C25" s="362">
        <v>110799</v>
      </c>
      <c r="D25" s="362">
        <v>110102</v>
      </c>
      <c r="E25" s="363">
        <v>2277</v>
      </c>
      <c r="F25" s="363">
        <v>2214</v>
      </c>
      <c r="H25" s="362">
        <v>108499</v>
      </c>
      <c r="I25" s="362">
        <v>111495</v>
      </c>
      <c r="J25" s="362">
        <v>113747</v>
      </c>
      <c r="L25" s="362">
        <v>1353</v>
      </c>
      <c r="M25" s="362">
        <v>1458</v>
      </c>
      <c r="N25" s="362">
        <v>1555</v>
      </c>
      <c r="P25" s="362">
        <v>10935</v>
      </c>
      <c r="Q25" s="362">
        <v>9834</v>
      </c>
      <c r="R25" s="362">
        <v>10135</v>
      </c>
    </row>
    <row r="26" spans="1:18">
      <c r="A26" s="617"/>
      <c r="B26" s="361" t="s">
        <v>283</v>
      </c>
      <c r="C26" s="362">
        <v>188389</v>
      </c>
      <c r="D26" s="362">
        <v>182735</v>
      </c>
      <c r="E26" s="363">
        <v>20418</v>
      </c>
      <c r="F26" s="363">
        <v>15820</v>
      </c>
      <c r="H26" s="362">
        <v>170377</v>
      </c>
      <c r="I26" s="362">
        <v>174324</v>
      </c>
      <c r="J26" s="362">
        <v>178478</v>
      </c>
      <c r="L26" s="362">
        <v>2216</v>
      </c>
      <c r="M26" s="362">
        <v>2373</v>
      </c>
      <c r="N26" s="362">
        <v>2514</v>
      </c>
      <c r="P26" s="362">
        <v>59790</v>
      </c>
      <c r="Q26" s="362">
        <v>57516</v>
      </c>
      <c r="R26" s="362">
        <v>71780</v>
      </c>
    </row>
    <row r="27" spans="1:18">
      <c r="A27" s="617"/>
      <c r="B27" s="361" t="s">
        <v>284</v>
      </c>
      <c r="C27" s="374">
        <v>999097</v>
      </c>
      <c r="D27" s="362">
        <v>998029</v>
      </c>
      <c r="E27" s="363">
        <v>143625</v>
      </c>
      <c r="F27" s="363">
        <v>76213</v>
      </c>
      <c r="H27" s="362">
        <v>427947</v>
      </c>
      <c r="I27" s="362">
        <v>443115</v>
      </c>
      <c r="J27" s="362">
        <v>459625</v>
      </c>
      <c r="L27" s="362">
        <v>3884</v>
      </c>
      <c r="M27" s="362">
        <v>4190</v>
      </c>
      <c r="N27" s="362">
        <v>4335</v>
      </c>
      <c r="P27" s="362">
        <v>66017</v>
      </c>
      <c r="Q27" s="362">
        <v>80256</v>
      </c>
      <c r="R27" s="362">
        <v>85009</v>
      </c>
    </row>
    <row r="28" spans="1:18">
      <c r="A28" s="617"/>
      <c r="B28" s="365" t="s">
        <v>286</v>
      </c>
      <c r="C28" s="362">
        <v>414683</v>
      </c>
      <c r="D28" s="362">
        <v>404670</v>
      </c>
      <c r="E28" s="363">
        <v>667166</v>
      </c>
      <c r="F28" s="363">
        <v>487093</v>
      </c>
      <c r="H28" s="362">
        <v>477175</v>
      </c>
      <c r="I28" s="362">
        <v>490570</v>
      </c>
      <c r="J28" s="362">
        <v>505246</v>
      </c>
      <c r="L28" s="362">
        <v>4647</v>
      </c>
      <c r="M28" s="362">
        <v>4911</v>
      </c>
      <c r="N28" s="362">
        <v>5122</v>
      </c>
      <c r="P28" s="362">
        <v>102341</v>
      </c>
      <c r="Q28" s="362">
        <v>128552</v>
      </c>
      <c r="R28" s="362">
        <v>130514</v>
      </c>
    </row>
    <row r="29" spans="1:18">
      <c r="A29" s="618"/>
      <c r="B29" s="365" t="s">
        <v>287</v>
      </c>
      <c r="C29" s="362">
        <v>447064</v>
      </c>
      <c r="D29" s="362">
        <v>429848</v>
      </c>
      <c r="E29" s="363">
        <v>175494</v>
      </c>
      <c r="F29" s="363">
        <v>144199</v>
      </c>
      <c r="H29" s="362">
        <v>107080</v>
      </c>
      <c r="I29" s="362">
        <v>108201</v>
      </c>
      <c r="J29" s="362">
        <v>108965</v>
      </c>
      <c r="L29" s="362">
        <v>1402</v>
      </c>
      <c r="M29" s="362">
        <v>1476</v>
      </c>
      <c r="N29" s="362">
        <v>1496</v>
      </c>
      <c r="P29" s="362">
        <v>25361</v>
      </c>
      <c r="Q29" s="362">
        <v>26324</v>
      </c>
      <c r="R29" s="362">
        <v>27010</v>
      </c>
    </row>
    <row r="30" spans="1:18">
      <c r="A30" s="619" t="s">
        <v>285</v>
      </c>
      <c r="B30" s="370" t="s">
        <v>288</v>
      </c>
      <c r="C30" s="371">
        <v>567702</v>
      </c>
      <c r="D30" s="371">
        <v>548806</v>
      </c>
      <c r="E30" s="372">
        <v>686310</v>
      </c>
      <c r="F30" s="372">
        <v>518127</v>
      </c>
      <c r="G30" s="373"/>
      <c r="H30" s="371">
        <v>251262</v>
      </c>
      <c r="I30" s="371">
        <v>256628</v>
      </c>
      <c r="J30" s="371">
        <v>261530</v>
      </c>
      <c r="K30" s="373"/>
      <c r="L30" s="371">
        <v>2706</v>
      </c>
      <c r="M30" s="371">
        <v>2900</v>
      </c>
      <c r="N30" s="371">
        <v>2943</v>
      </c>
      <c r="O30" s="373"/>
      <c r="P30" s="371">
        <v>72807</v>
      </c>
      <c r="Q30" s="371">
        <v>75575</v>
      </c>
      <c r="R30" s="371">
        <v>83382</v>
      </c>
    </row>
    <row r="31" spans="1:18">
      <c r="A31" s="617"/>
      <c r="B31" s="365" t="s">
        <v>289</v>
      </c>
      <c r="C31" s="362">
        <v>745976</v>
      </c>
      <c r="D31" s="362">
        <v>740006</v>
      </c>
      <c r="E31" s="363">
        <v>52761</v>
      </c>
      <c r="F31" s="363">
        <v>45585</v>
      </c>
      <c r="H31" s="362">
        <v>290547</v>
      </c>
      <c r="I31" s="362">
        <v>297950</v>
      </c>
      <c r="J31" s="362">
        <v>306197</v>
      </c>
      <c r="L31" s="362">
        <v>2568</v>
      </c>
      <c r="M31" s="362">
        <v>2783</v>
      </c>
      <c r="N31" s="362">
        <v>2905</v>
      </c>
      <c r="P31" s="362">
        <v>31925</v>
      </c>
      <c r="Q31" s="362">
        <v>32766</v>
      </c>
      <c r="R31" s="362">
        <v>43622</v>
      </c>
    </row>
    <row r="32" spans="1:18">
      <c r="A32" s="617"/>
      <c r="B32" s="365" t="s">
        <v>290</v>
      </c>
      <c r="C32" s="362">
        <v>871595</v>
      </c>
      <c r="D32" s="362">
        <v>864380</v>
      </c>
      <c r="E32" s="363">
        <v>36847</v>
      </c>
      <c r="F32" s="363">
        <v>31775</v>
      </c>
      <c r="H32" s="362">
        <v>131555</v>
      </c>
      <c r="I32" s="362">
        <v>133390</v>
      </c>
      <c r="J32" s="362">
        <v>135142</v>
      </c>
      <c r="L32" s="362">
        <v>1137</v>
      </c>
      <c r="M32" s="362">
        <v>1234</v>
      </c>
      <c r="N32" s="362">
        <v>1304</v>
      </c>
      <c r="P32" s="362">
        <v>13661</v>
      </c>
      <c r="Q32" s="362">
        <v>16946</v>
      </c>
      <c r="R32" s="362">
        <v>16540</v>
      </c>
    </row>
    <row r="33" spans="1:18">
      <c r="A33" s="617"/>
      <c r="B33" s="365" t="s">
        <v>291</v>
      </c>
      <c r="C33" s="362">
        <v>570093</v>
      </c>
      <c r="D33" s="362">
        <v>560277</v>
      </c>
      <c r="E33" s="363">
        <v>529812</v>
      </c>
      <c r="F33" s="363">
        <v>464732</v>
      </c>
      <c r="H33" s="362">
        <v>236271</v>
      </c>
      <c r="I33" s="362">
        <v>238320</v>
      </c>
      <c r="J33" s="362">
        <v>240877</v>
      </c>
      <c r="L33" s="362">
        <v>2025</v>
      </c>
      <c r="M33" s="362">
        <v>2147</v>
      </c>
      <c r="N33" s="362">
        <v>2236</v>
      </c>
      <c r="P33" s="362">
        <v>31063</v>
      </c>
      <c r="Q33" s="362">
        <v>34651</v>
      </c>
      <c r="R33" s="362">
        <v>37387</v>
      </c>
    </row>
    <row r="34" spans="1:18">
      <c r="A34" s="617"/>
      <c r="B34" s="365" t="s">
        <v>292</v>
      </c>
      <c r="C34" s="362">
        <v>253492</v>
      </c>
      <c r="D34" s="362">
        <v>244042</v>
      </c>
      <c r="E34" s="363">
        <v>186155</v>
      </c>
      <c r="F34" s="363">
        <v>179912</v>
      </c>
      <c r="H34" s="362">
        <v>156494</v>
      </c>
      <c r="I34" s="362">
        <v>158650</v>
      </c>
      <c r="J34" s="362">
        <v>162050</v>
      </c>
      <c r="L34" s="362">
        <v>1420</v>
      </c>
      <c r="M34" s="362">
        <v>1466</v>
      </c>
      <c r="N34" s="362">
        <v>1539</v>
      </c>
      <c r="P34" s="362">
        <v>8541</v>
      </c>
      <c r="Q34" s="362">
        <v>10298</v>
      </c>
      <c r="R34" s="362">
        <v>11724</v>
      </c>
    </row>
    <row r="35" spans="1:18">
      <c r="A35" s="617"/>
      <c r="B35" s="365" t="s">
        <v>293</v>
      </c>
      <c r="C35" s="362">
        <v>93965</v>
      </c>
      <c r="D35" s="362">
        <v>95420</v>
      </c>
      <c r="E35" s="363">
        <v>169648</v>
      </c>
      <c r="F35" s="363">
        <v>166197</v>
      </c>
      <c r="H35" s="362">
        <v>72856</v>
      </c>
      <c r="I35" s="362">
        <v>73787</v>
      </c>
      <c r="J35" s="362">
        <v>75207</v>
      </c>
      <c r="L35" s="362">
        <v>631</v>
      </c>
      <c r="M35" s="362">
        <v>658</v>
      </c>
      <c r="N35" s="362">
        <v>675</v>
      </c>
      <c r="P35" s="362">
        <v>4515</v>
      </c>
      <c r="Q35" s="362">
        <v>6722</v>
      </c>
      <c r="R35" s="362">
        <v>7169</v>
      </c>
    </row>
    <row r="36" spans="1:18">
      <c r="C36" s="366"/>
      <c r="D36" s="367"/>
    </row>
    <row r="37" spans="1:18">
      <c r="A37" s="613" t="s">
        <v>294</v>
      </c>
      <c r="B37" s="357" t="s">
        <v>295</v>
      </c>
      <c r="C37" s="357">
        <f>SUM(C17:C29)/SUM(C17:C35)</f>
        <v>0.69064878528604601</v>
      </c>
      <c r="D37" s="357">
        <f t="shared" ref="D37:F37" si="1">SUM(D17:D29)/SUM(D17:D35)</f>
        <v>0.69137142756627978</v>
      </c>
      <c r="E37" s="357">
        <f t="shared" si="1"/>
        <v>0.37910013721932073</v>
      </c>
      <c r="F37" s="357">
        <f t="shared" si="1"/>
        <v>0.34175219708004601</v>
      </c>
      <c r="H37" s="357">
        <f>SUM(H17:H29)/SUM(H17:H35)</f>
        <v>0.76555406643490731</v>
      </c>
      <c r="I37" s="357">
        <f t="shared" ref="I37:J37" si="2">SUM(I17:I29)/SUM(I17:I35)</f>
        <v>0.76759823260534266</v>
      </c>
      <c r="J37" s="357">
        <f t="shared" si="2"/>
        <v>0.76884124973380596</v>
      </c>
      <c r="L37" s="357">
        <f>SUM(L17:L29)/SUM(L17:L35)</f>
        <v>0.79077051993136749</v>
      </c>
      <c r="M37" s="357">
        <f t="shared" ref="M37:N37" si="3">SUM(M17:M29)/SUM(M17:M35)</f>
        <v>0.79144763822092978</v>
      </c>
      <c r="N37" s="357">
        <f t="shared" si="3"/>
        <v>0.79333808336302103</v>
      </c>
      <c r="P37" s="357">
        <f>SUM(P17:P29)/SUM(P17:P35)</f>
        <v>0.76809542632329253</v>
      </c>
      <c r="Q37" s="357">
        <f t="shared" ref="Q37:R37" si="4">SUM(Q17:Q29)/SUM(Q17:Q35)</f>
        <v>0.76967201058979262</v>
      </c>
      <c r="R37" s="357">
        <f t="shared" si="4"/>
        <v>0.75959547593295951</v>
      </c>
    </row>
    <row r="38" spans="1:18">
      <c r="A38" s="613"/>
      <c r="B38" s="357" t="s">
        <v>296</v>
      </c>
      <c r="C38" s="357">
        <f>SUM(C30:C35)/SUM(C17:C35)</f>
        <v>0.30935121471395394</v>
      </c>
      <c r="D38" s="357">
        <f t="shared" ref="D38:F38" si="5">SUM(D30:D35)/SUM(D17:D35)</f>
        <v>0.30862857243372016</v>
      </c>
      <c r="E38" s="357">
        <f t="shared" si="5"/>
        <v>0.62089986278067932</v>
      </c>
      <c r="F38" s="357">
        <f t="shared" si="5"/>
        <v>0.65824780291995399</v>
      </c>
      <c r="H38" s="357">
        <f>SUM(H30:H35)/SUM(H17:H35)</f>
        <v>0.23444593356509275</v>
      </c>
      <c r="I38" s="357">
        <f t="shared" ref="I38:J38" si="6">SUM(I30:I35)/SUM(I17:I35)</f>
        <v>0.23240176739465729</v>
      </c>
      <c r="J38" s="357">
        <f t="shared" si="6"/>
        <v>0.23115875026619398</v>
      </c>
      <c r="L38" s="357">
        <f>SUM(L30:L35)/SUM(L17:L35)</f>
        <v>0.20922948006863254</v>
      </c>
      <c r="M38" s="357">
        <f t="shared" ref="M38:N38" si="7">SUM(M30:M35)/SUM(M17:M35)</f>
        <v>0.20855236177907019</v>
      </c>
      <c r="N38" s="357">
        <f t="shared" si="7"/>
        <v>0.20666191663697897</v>
      </c>
      <c r="P38" s="357">
        <f>SUM(P30:P35)/SUM(P17:P35)</f>
        <v>0.2319045736767075</v>
      </c>
      <c r="Q38" s="357">
        <f t="shared" ref="Q38:R38" si="8">SUM(Q30:Q35)/SUM(Q17:Q35)</f>
        <v>0.23032798941020738</v>
      </c>
      <c r="R38" s="357">
        <f t="shared" si="8"/>
        <v>0.24040452406704049</v>
      </c>
    </row>
    <row r="39" spans="1:18">
      <c r="A39" s="368"/>
    </row>
    <row r="40" spans="1:18">
      <c r="A40" s="368"/>
      <c r="C40" s="357">
        <v>2010</v>
      </c>
      <c r="D40" s="357">
        <v>2012</v>
      </c>
    </row>
    <row r="41" spans="1:18">
      <c r="A41" s="614" t="s">
        <v>297</v>
      </c>
      <c r="B41" s="357" t="s">
        <v>298</v>
      </c>
      <c r="C41" s="357">
        <v>14.391</v>
      </c>
      <c r="D41" s="357">
        <v>13.577999999999999</v>
      </c>
    </row>
    <row r="42" spans="1:18">
      <c r="A42" s="614"/>
      <c r="B42" s="357" t="s">
        <v>299</v>
      </c>
      <c r="C42" s="357">
        <v>20.29</v>
      </c>
      <c r="D42" s="357">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W55"/>
  <sheetViews>
    <sheetView showGridLines="0" zoomScaleNormal="85" workbookViewId="0">
      <pane xSplit="3" ySplit="5" topLeftCell="H22" activePane="bottomRight" state="frozen"/>
      <selection activeCell="N5" sqref="N5"/>
      <selection pane="topRight" activeCell="N5" sqref="N5"/>
      <selection pane="bottomLeft" activeCell="N5" sqref="N5"/>
      <selection pane="bottomRight" activeCell="R4" sqref="R4:R5"/>
    </sheetView>
  </sheetViews>
  <sheetFormatPr baseColWidth="10" defaultColWidth="9.1640625" defaultRowHeight="14"/>
  <cols>
    <col min="1" max="1" width="5.6640625" style="400" customWidth="1"/>
    <col min="2" max="2" width="35.6640625" style="400" customWidth="1"/>
    <col min="3" max="18" width="11.6640625" style="400" customWidth="1"/>
    <col min="19" max="19" width="14.33203125" style="400" customWidth="1"/>
    <col min="20" max="251" width="9.1640625" style="400"/>
    <col min="252" max="252" width="5.6640625" style="400" customWidth="1"/>
    <col min="253" max="253" width="35.6640625" style="400" customWidth="1"/>
    <col min="254" max="271" width="11.6640625" style="400" customWidth="1"/>
    <col min="272" max="507" width="9.1640625" style="400"/>
    <col min="508" max="508" width="5.6640625" style="400" customWidth="1"/>
    <col min="509" max="509" width="35.6640625" style="400" customWidth="1"/>
    <col min="510" max="527" width="11.6640625" style="400" customWidth="1"/>
    <col min="528" max="763" width="9.1640625" style="400"/>
    <col min="764" max="764" width="5.6640625" style="400" customWidth="1"/>
    <col min="765" max="765" width="35.6640625" style="400" customWidth="1"/>
    <col min="766" max="783" width="11.6640625" style="400" customWidth="1"/>
    <col min="784" max="1019" width="9.1640625" style="400"/>
    <col min="1020" max="1020" width="5.6640625" style="400" customWidth="1"/>
    <col min="1021" max="1021" width="35.6640625" style="400" customWidth="1"/>
    <col min="1022" max="1039" width="11.6640625" style="400" customWidth="1"/>
    <col min="1040" max="1275" width="9.1640625" style="400"/>
    <col min="1276" max="1276" width="5.6640625" style="400" customWidth="1"/>
    <col min="1277" max="1277" width="35.6640625" style="400" customWidth="1"/>
    <col min="1278" max="1295" width="11.6640625" style="400" customWidth="1"/>
    <col min="1296" max="1531" width="9.1640625" style="400"/>
    <col min="1532" max="1532" width="5.6640625" style="400" customWidth="1"/>
    <col min="1533" max="1533" width="35.6640625" style="400" customWidth="1"/>
    <col min="1534" max="1551" width="11.6640625" style="400" customWidth="1"/>
    <col min="1552" max="1787" width="9.1640625" style="400"/>
    <col min="1788" max="1788" width="5.6640625" style="400" customWidth="1"/>
    <col min="1789" max="1789" width="35.6640625" style="400" customWidth="1"/>
    <col min="1790" max="1807" width="11.6640625" style="400" customWidth="1"/>
    <col min="1808" max="2043" width="9.1640625" style="400"/>
    <col min="2044" max="2044" width="5.6640625" style="400" customWidth="1"/>
    <col min="2045" max="2045" width="35.6640625" style="400" customWidth="1"/>
    <col min="2046" max="2063" width="11.6640625" style="400" customWidth="1"/>
    <col min="2064" max="2299" width="9.1640625" style="400"/>
    <col min="2300" max="2300" width="5.6640625" style="400" customWidth="1"/>
    <col min="2301" max="2301" width="35.6640625" style="400" customWidth="1"/>
    <col min="2302" max="2319" width="11.6640625" style="400" customWidth="1"/>
    <col min="2320" max="2555" width="9.1640625" style="400"/>
    <col min="2556" max="2556" width="5.6640625" style="400" customWidth="1"/>
    <col min="2557" max="2557" width="35.6640625" style="400" customWidth="1"/>
    <col min="2558" max="2575" width="11.6640625" style="400" customWidth="1"/>
    <col min="2576" max="2811" width="9.1640625" style="400"/>
    <col min="2812" max="2812" width="5.6640625" style="400" customWidth="1"/>
    <col min="2813" max="2813" width="35.6640625" style="400" customWidth="1"/>
    <col min="2814" max="2831" width="11.6640625" style="400" customWidth="1"/>
    <col min="2832" max="3067" width="9.1640625" style="400"/>
    <col min="3068" max="3068" width="5.6640625" style="400" customWidth="1"/>
    <col min="3069" max="3069" width="35.6640625" style="400" customWidth="1"/>
    <col min="3070" max="3087" width="11.6640625" style="400" customWidth="1"/>
    <col min="3088" max="3323" width="9.1640625" style="400"/>
    <col min="3324" max="3324" width="5.6640625" style="400" customWidth="1"/>
    <col min="3325" max="3325" width="35.6640625" style="400" customWidth="1"/>
    <col min="3326" max="3343" width="11.6640625" style="400" customWidth="1"/>
    <col min="3344" max="3579" width="9.1640625" style="400"/>
    <col min="3580" max="3580" width="5.6640625" style="400" customWidth="1"/>
    <col min="3581" max="3581" width="35.6640625" style="400" customWidth="1"/>
    <col min="3582" max="3599" width="11.6640625" style="400" customWidth="1"/>
    <col min="3600" max="3835" width="9.1640625" style="400"/>
    <col min="3836" max="3836" width="5.6640625" style="400" customWidth="1"/>
    <col min="3837" max="3837" width="35.6640625" style="400" customWidth="1"/>
    <col min="3838" max="3855" width="11.6640625" style="400" customWidth="1"/>
    <col min="3856" max="4091" width="9.1640625" style="400"/>
    <col min="4092" max="4092" width="5.6640625" style="400" customWidth="1"/>
    <col min="4093" max="4093" width="35.6640625" style="400" customWidth="1"/>
    <col min="4094" max="4111" width="11.6640625" style="400" customWidth="1"/>
    <col min="4112" max="4347" width="9.1640625" style="400"/>
    <col min="4348" max="4348" width="5.6640625" style="400" customWidth="1"/>
    <col min="4349" max="4349" width="35.6640625" style="400" customWidth="1"/>
    <col min="4350" max="4367" width="11.6640625" style="400" customWidth="1"/>
    <col min="4368" max="4603" width="9.1640625" style="400"/>
    <col min="4604" max="4604" width="5.6640625" style="400" customWidth="1"/>
    <col min="4605" max="4605" width="35.6640625" style="400" customWidth="1"/>
    <col min="4606" max="4623" width="11.6640625" style="400" customWidth="1"/>
    <col min="4624" max="4859" width="9.1640625" style="400"/>
    <col min="4860" max="4860" width="5.6640625" style="400" customWidth="1"/>
    <col min="4861" max="4861" width="35.6640625" style="400" customWidth="1"/>
    <col min="4862" max="4879" width="11.6640625" style="400" customWidth="1"/>
    <col min="4880" max="5115" width="9.1640625" style="400"/>
    <col min="5116" max="5116" width="5.6640625" style="400" customWidth="1"/>
    <col min="5117" max="5117" width="35.6640625" style="400" customWidth="1"/>
    <col min="5118" max="5135" width="11.6640625" style="400" customWidth="1"/>
    <col min="5136" max="5371" width="9.1640625" style="400"/>
    <col min="5372" max="5372" width="5.6640625" style="400" customWidth="1"/>
    <col min="5373" max="5373" width="35.6640625" style="400" customWidth="1"/>
    <col min="5374" max="5391" width="11.6640625" style="400" customWidth="1"/>
    <col min="5392" max="5627" width="9.1640625" style="400"/>
    <col min="5628" max="5628" width="5.6640625" style="400" customWidth="1"/>
    <col min="5629" max="5629" width="35.6640625" style="400" customWidth="1"/>
    <col min="5630" max="5647" width="11.6640625" style="400" customWidth="1"/>
    <col min="5648" max="5883" width="9.1640625" style="400"/>
    <col min="5884" max="5884" width="5.6640625" style="400" customWidth="1"/>
    <col min="5885" max="5885" width="35.6640625" style="400" customWidth="1"/>
    <col min="5886" max="5903" width="11.6640625" style="400" customWidth="1"/>
    <col min="5904" max="6139" width="9.1640625" style="400"/>
    <col min="6140" max="6140" width="5.6640625" style="400" customWidth="1"/>
    <col min="6141" max="6141" width="35.6640625" style="400" customWidth="1"/>
    <col min="6142" max="6159" width="11.6640625" style="400" customWidth="1"/>
    <col min="6160" max="6395" width="9.1640625" style="400"/>
    <col min="6396" max="6396" width="5.6640625" style="400" customWidth="1"/>
    <col min="6397" max="6397" width="35.6640625" style="400" customWidth="1"/>
    <col min="6398" max="6415" width="11.6640625" style="400" customWidth="1"/>
    <col min="6416" max="6651" width="9.1640625" style="400"/>
    <col min="6652" max="6652" width="5.6640625" style="400" customWidth="1"/>
    <col min="6653" max="6653" width="35.6640625" style="400" customWidth="1"/>
    <col min="6654" max="6671" width="11.6640625" style="400" customWidth="1"/>
    <col min="6672" max="6907" width="9.1640625" style="400"/>
    <col min="6908" max="6908" width="5.6640625" style="400" customWidth="1"/>
    <col min="6909" max="6909" width="35.6640625" style="400" customWidth="1"/>
    <col min="6910" max="6927" width="11.6640625" style="400" customWidth="1"/>
    <col min="6928" max="7163" width="9.1640625" style="400"/>
    <col min="7164" max="7164" width="5.6640625" style="400" customWidth="1"/>
    <col min="7165" max="7165" width="35.6640625" style="400" customWidth="1"/>
    <col min="7166" max="7183" width="11.6640625" style="400" customWidth="1"/>
    <col min="7184" max="7419" width="9.1640625" style="400"/>
    <col min="7420" max="7420" width="5.6640625" style="400" customWidth="1"/>
    <col min="7421" max="7421" width="35.6640625" style="400" customWidth="1"/>
    <col min="7422" max="7439" width="11.6640625" style="400" customWidth="1"/>
    <col min="7440" max="7675" width="9.1640625" style="400"/>
    <col min="7676" max="7676" width="5.6640625" style="400" customWidth="1"/>
    <col min="7677" max="7677" width="35.6640625" style="400" customWidth="1"/>
    <col min="7678" max="7695" width="11.6640625" style="400" customWidth="1"/>
    <col min="7696" max="7931" width="9.1640625" style="400"/>
    <col min="7932" max="7932" width="5.6640625" style="400" customWidth="1"/>
    <col min="7933" max="7933" width="35.6640625" style="400" customWidth="1"/>
    <col min="7934" max="7951" width="11.6640625" style="400" customWidth="1"/>
    <col min="7952" max="8187" width="9.1640625" style="400"/>
    <col min="8188" max="8188" width="5.6640625" style="400" customWidth="1"/>
    <col min="8189" max="8189" width="35.6640625" style="400" customWidth="1"/>
    <col min="8190" max="8207" width="11.6640625" style="400" customWidth="1"/>
    <col min="8208" max="8443" width="9.1640625" style="400"/>
    <col min="8444" max="8444" width="5.6640625" style="400" customWidth="1"/>
    <col min="8445" max="8445" width="35.6640625" style="400" customWidth="1"/>
    <col min="8446" max="8463" width="11.6640625" style="400" customWidth="1"/>
    <col min="8464" max="8699" width="9.1640625" style="400"/>
    <col min="8700" max="8700" width="5.6640625" style="400" customWidth="1"/>
    <col min="8701" max="8701" width="35.6640625" style="400" customWidth="1"/>
    <col min="8702" max="8719" width="11.6640625" style="400" customWidth="1"/>
    <col min="8720" max="8955" width="9.1640625" style="400"/>
    <col min="8956" max="8956" width="5.6640625" style="400" customWidth="1"/>
    <col min="8957" max="8957" width="35.6640625" style="400" customWidth="1"/>
    <col min="8958" max="8975" width="11.6640625" style="400" customWidth="1"/>
    <col min="8976" max="9211" width="9.1640625" style="400"/>
    <col min="9212" max="9212" width="5.6640625" style="400" customWidth="1"/>
    <col min="9213" max="9213" width="35.6640625" style="400" customWidth="1"/>
    <col min="9214" max="9231" width="11.6640625" style="400" customWidth="1"/>
    <col min="9232" max="9467" width="9.1640625" style="400"/>
    <col min="9468" max="9468" width="5.6640625" style="400" customWidth="1"/>
    <col min="9469" max="9469" width="35.6640625" style="400" customWidth="1"/>
    <col min="9470" max="9487" width="11.6640625" style="400" customWidth="1"/>
    <col min="9488" max="9723" width="9.1640625" style="400"/>
    <col min="9724" max="9724" width="5.6640625" style="400" customWidth="1"/>
    <col min="9725" max="9725" width="35.6640625" style="400" customWidth="1"/>
    <col min="9726" max="9743" width="11.6640625" style="400" customWidth="1"/>
    <col min="9744" max="9979" width="9.1640625" style="400"/>
    <col min="9980" max="9980" width="5.6640625" style="400" customWidth="1"/>
    <col min="9981" max="9981" width="35.6640625" style="400" customWidth="1"/>
    <col min="9982" max="9999" width="11.6640625" style="400" customWidth="1"/>
    <col min="10000" max="10235" width="9.1640625" style="400"/>
    <col min="10236" max="10236" width="5.6640625" style="400" customWidth="1"/>
    <col min="10237" max="10237" width="35.6640625" style="400" customWidth="1"/>
    <col min="10238" max="10255" width="11.6640625" style="400" customWidth="1"/>
    <col min="10256" max="10491" width="9.1640625" style="400"/>
    <col min="10492" max="10492" width="5.6640625" style="400" customWidth="1"/>
    <col min="10493" max="10493" width="35.6640625" style="400" customWidth="1"/>
    <col min="10494" max="10511" width="11.6640625" style="400" customWidth="1"/>
    <col min="10512" max="10747" width="9.1640625" style="400"/>
    <col min="10748" max="10748" width="5.6640625" style="400" customWidth="1"/>
    <col min="10749" max="10749" width="35.6640625" style="400" customWidth="1"/>
    <col min="10750" max="10767" width="11.6640625" style="400" customWidth="1"/>
    <col min="10768" max="11003" width="9.1640625" style="400"/>
    <col min="11004" max="11004" width="5.6640625" style="400" customWidth="1"/>
    <col min="11005" max="11005" width="35.6640625" style="400" customWidth="1"/>
    <col min="11006" max="11023" width="11.6640625" style="400" customWidth="1"/>
    <col min="11024" max="11259" width="9.1640625" style="400"/>
    <col min="11260" max="11260" width="5.6640625" style="400" customWidth="1"/>
    <col min="11261" max="11261" width="35.6640625" style="400" customWidth="1"/>
    <col min="11262" max="11279" width="11.6640625" style="400" customWidth="1"/>
    <col min="11280" max="11515" width="9.1640625" style="400"/>
    <col min="11516" max="11516" width="5.6640625" style="400" customWidth="1"/>
    <col min="11517" max="11517" width="35.6640625" style="400" customWidth="1"/>
    <col min="11518" max="11535" width="11.6640625" style="400" customWidth="1"/>
    <col min="11536" max="11771" width="9.1640625" style="400"/>
    <col min="11772" max="11772" width="5.6640625" style="400" customWidth="1"/>
    <col min="11773" max="11773" width="35.6640625" style="400" customWidth="1"/>
    <col min="11774" max="11791" width="11.6640625" style="400" customWidth="1"/>
    <col min="11792" max="12027" width="9.1640625" style="400"/>
    <col min="12028" max="12028" width="5.6640625" style="400" customWidth="1"/>
    <col min="12029" max="12029" width="35.6640625" style="400" customWidth="1"/>
    <col min="12030" max="12047" width="11.6640625" style="400" customWidth="1"/>
    <col min="12048" max="12283" width="9.1640625" style="400"/>
    <col min="12284" max="12284" width="5.6640625" style="400" customWidth="1"/>
    <col min="12285" max="12285" width="35.6640625" style="400" customWidth="1"/>
    <col min="12286" max="12303" width="11.6640625" style="400" customWidth="1"/>
    <col min="12304" max="12539" width="9.1640625" style="400"/>
    <col min="12540" max="12540" width="5.6640625" style="400" customWidth="1"/>
    <col min="12541" max="12541" width="35.6640625" style="400" customWidth="1"/>
    <col min="12542" max="12559" width="11.6640625" style="400" customWidth="1"/>
    <col min="12560" max="12795" width="9.1640625" style="400"/>
    <col min="12796" max="12796" width="5.6640625" style="400" customWidth="1"/>
    <col min="12797" max="12797" width="35.6640625" style="400" customWidth="1"/>
    <col min="12798" max="12815" width="11.6640625" style="400" customWidth="1"/>
    <col min="12816" max="13051" width="9.1640625" style="400"/>
    <col min="13052" max="13052" width="5.6640625" style="400" customWidth="1"/>
    <col min="13053" max="13053" width="35.6640625" style="400" customWidth="1"/>
    <col min="13054" max="13071" width="11.6640625" style="400" customWidth="1"/>
    <col min="13072" max="13307" width="9.1640625" style="400"/>
    <col min="13308" max="13308" width="5.6640625" style="400" customWidth="1"/>
    <col min="13309" max="13309" width="35.6640625" style="400" customWidth="1"/>
    <col min="13310" max="13327" width="11.6640625" style="400" customWidth="1"/>
    <col min="13328" max="13563" width="9.1640625" style="400"/>
    <col min="13564" max="13564" width="5.6640625" style="400" customWidth="1"/>
    <col min="13565" max="13565" width="35.6640625" style="400" customWidth="1"/>
    <col min="13566" max="13583" width="11.6640625" style="400" customWidth="1"/>
    <col min="13584" max="13819" width="9.1640625" style="400"/>
    <col min="13820" max="13820" width="5.6640625" style="400" customWidth="1"/>
    <col min="13821" max="13821" width="35.6640625" style="400" customWidth="1"/>
    <col min="13822" max="13839" width="11.6640625" style="400" customWidth="1"/>
    <col min="13840" max="14075" width="9.1640625" style="400"/>
    <col min="14076" max="14076" width="5.6640625" style="400" customWidth="1"/>
    <col min="14077" max="14077" width="35.6640625" style="400" customWidth="1"/>
    <col min="14078" max="14095" width="11.6640625" style="400" customWidth="1"/>
    <col min="14096" max="14331" width="9.1640625" style="400"/>
    <col min="14332" max="14332" width="5.6640625" style="400" customWidth="1"/>
    <col min="14333" max="14333" width="35.6640625" style="400" customWidth="1"/>
    <col min="14334" max="14351" width="11.6640625" style="400" customWidth="1"/>
    <col min="14352" max="14587" width="9.1640625" style="400"/>
    <col min="14588" max="14588" width="5.6640625" style="400" customWidth="1"/>
    <col min="14589" max="14589" width="35.6640625" style="400" customWidth="1"/>
    <col min="14590" max="14607" width="11.6640625" style="400" customWidth="1"/>
    <col min="14608" max="14843" width="9.1640625" style="400"/>
    <col min="14844" max="14844" width="5.6640625" style="400" customWidth="1"/>
    <col min="14845" max="14845" width="35.6640625" style="400" customWidth="1"/>
    <col min="14846" max="14863" width="11.6640625" style="400" customWidth="1"/>
    <col min="14864" max="15099" width="9.1640625" style="400"/>
    <col min="15100" max="15100" width="5.6640625" style="400" customWidth="1"/>
    <col min="15101" max="15101" width="35.6640625" style="400" customWidth="1"/>
    <col min="15102" max="15119" width="11.6640625" style="400" customWidth="1"/>
    <col min="15120" max="15355" width="9.1640625" style="400"/>
    <col min="15356" max="15356" width="5.6640625" style="400" customWidth="1"/>
    <col min="15357" max="15357" width="35.6640625" style="400" customWidth="1"/>
    <col min="15358" max="15375" width="11.6640625" style="400" customWidth="1"/>
    <col min="15376" max="15611" width="9.1640625" style="400"/>
    <col min="15612" max="15612" width="5.6640625" style="400" customWidth="1"/>
    <col min="15613" max="15613" width="35.6640625" style="400" customWidth="1"/>
    <col min="15614" max="15631" width="11.6640625" style="400" customWidth="1"/>
    <col min="15632" max="15867" width="9.1640625" style="400"/>
    <col min="15868" max="15868" width="5.6640625" style="400" customWidth="1"/>
    <col min="15869" max="15869" width="35.6640625" style="400" customWidth="1"/>
    <col min="15870" max="15887" width="11.6640625" style="400" customWidth="1"/>
    <col min="15888" max="16123" width="9.1640625" style="400"/>
    <col min="16124" max="16124" width="5.6640625" style="400" customWidth="1"/>
    <col min="16125" max="16125" width="35.6640625" style="400" customWidth="1"/>
    <col min="16126" max="16143" width="11.6640625" style="400" customWidth="1"/>
    <col min="16144" max="16384" width="9.1640625" style="400"/>
  </cols>
  <sheetData>
    <row r="1" spans="1:23" ht="46" thickBot="1">
      <c r="A1" s="400" t="s">
        <v>324</v>
      </c>
      <c r="C1" s="400" t="s">
        <v>324</v>
      </c>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1:23">
      <c r="B2" s="624" t="s">
        <v>310</v>
      </c>
      <c r="C2" s="624"/>
      <c r="D2" s="624"/>
      <c r="E2" s="624"/>
      <c r="F2" s="624"/>
      <c r="G2" s="624"/>
      <c r="H2" s="624"/>
      <c r="I2" s="624"/>
      <c r="J2" s="624"/>
      <c r="K2" s="624"/>
      <c r="L2" s="624"/>
      <c r="M2" s="624"/>
      <c r="N2" s="624"/>
      <c r="O2" s="624"/>
      <c r="P2" s="624"/>
      <c r="Q2" s="624"/>
      <c r="R2" s="624"/>
    </row>
    <row r="3" spans="1:23" ht="15" thickBot="1">
      <c r="B3" s="625" t="s">
        <v>311</v>
      </c>
      <c r="C3" s="625"/>
      <c r="D3" s="625"/>
      <c r="E3" s="625"/>
      <c r="F3" s="625"/>
      <c r="G3" s="625"/>
      <c r="H3" s="625"/>
      <c r="I3" s="625"/>
      <c r="J3" s="625"/>
      <c r="K3" s="625"/>
      <c r="L3" s="625"/>
      <c r="M3" s="625"/>
      <c r="N3" s="625"/>
      <c r="O3" s="625"/>
      <c r="P3" s="625"/>
      <c r="Q3" s="625"/>
      <c r="R3" s="625"/>
    </row>
    <row r="4" spans="1:23" s="401" customFormat="1" ht="19.5" customHeight="1">
      <c r="B4" s="626"/>
      <c r="C4" s="622" t="s">
        <v>312</v>
      </c>
      <c r="D4" s="561"/>
      <c r="E4" s="622" t="s">
        <v>313</v>
      </c>
      <c r="F4" s="602"/>
      <c r="G4" s="602"/>
      <c r="H4" s="602"/>
      <c r="I4" s="602"/>
      <c r="J4" s="602"/>
      <c r="K4" s="622" t="s">
        <v>314</v>
      </c>
      <c r="L4" s="567"/>
      <c r="M4" s="567"/>
      <c r="N4" s="567"/>
      <c r="O4" s="567"/>
      <c r="P4" s="622" t="s">
        <v>316</v>
      </c>
      <c r="Q4" s="622" t="s">
        <v>317</v>
      </c>
      <c r="R4" s="620" t="s">
        <v>432</v>
      </c>
      <c r="S4" s="620" t="s">
        <v>57</v>
      </c>
    </row>
    <row r="5" spans="1:23" s="401" customFormat="1" ht="49.5" customHeight="1" thickBot="1">
      <c r="B5" s="627"/>
      <c r="C5" s="623"/>
      <c r="D5" s="562" t="s">
        <v>429</v>
      </c>
      <c r="E5" s="623"/>
      <c r="F5" s="402" t="s">
        <v>318</v>
      </c>
      <c r="G5" s="402" t="s">
        <v>319</v>
      </c>
      <c r="H5" s="402" t="s">
        <v>320</v>
      </c>
      <c r="I5" s="402" t="s">
        <v>321</v>
      </c>
      <c r="J5" s="402" t="s">
        <v>322</v>
      </c>
      <c r="K5" s="623"/>
      <c r="L5" s="577" t="s">
        <v>77</v>
      </c>
      <c r="M5" s="577" t="s">
        <v>433</v>
      </c>
      <c r="N5" s="577" t="s">
        <v>78</v>
      </c>
      <c r="O5" s="577" t="s">
        <v>80</v>
      </c>
      <c r="P5" s="623"/>
      <c r="Q5" s="623"/>
      <c r="R5" s="621"/>
      <c r="S5" s="621"/>
      <c r="W5" s="401" t="s">
        <v>438</v>
      </c>
    </row>
    <row r="6" spans="1:23" ht="15">
      <c r="B6" s="403" t="s">
        <v>323</v>
      </c>
      <c r="C6" s="404">
        <v>2858233.9</v>
      </c>
      <c r="D6" s="404"/>
      <c r="E6" s="404" t="s">
        <v>324</v>
      </c>
      <c r="F6" s="404"/>
      <c r="G6" s="404"/>
      <c r="H6" s="404"/>
      <c r="I6" s="404"/>
      <c r="J6" s="404"/>
      <c r="K6" s="404" t="e">
        <f>#REF!+J6</f>
        <v>#REF!</v>
      </c>
      <c r="L6" s="404"/>
      <c r="M6" s="404">
        <v>0</v>
      </c>
      <c r="N6" s="404"/>
      <c r="O6" s="404"/>
      <c r="P6" s="404" t="s">
        <v>324</v>
      </c>
      <c r="Q6" s="404" t="s">
        <v>324</v>
      </c>
      <c r="R6" s="405" t="s">
        <v>324</v>
      </c>
      <c r="S6" s="447" t="e">
        <f t="shared" ref="S6:S37" si="0">SUM(F6:R6)+D6</f>
        <v>#REF!</v>
      </c>
      <c r="U6" s="447"/>
    </row>
    <row r="7" spans="1:23">
      <c r="B7" s="406" t="s">
        <v>325</v>
      </c>
      <c r="C7" s="407">
        <v>1822.8</v>
      </c>
      <c r="D7" s="563"/>
      <c r="E7" s="407">
        <v>1124.3</v>
      </c>
      <c r="F7" s="407">
        <v>4.7</v>
      </c>
      <c r="G7" s="407">
        <v>17.3</v>
      </c>
      <c r="H7" s="407">
        <v>4.3</v>
      </c>
      <c r="I7" s="407" t="s">
        <v>324</v>
      </c>
      <c r="J7" s="407">
        <v>1076.5</v>
      </c>
      <c r="K7" s="404" t="e">
        <f>#REF!+J7</f>
        <v>#REF!</v>
      </c>
      <c r="L7" s="573"/>
      <c r="M7" s="573">
        <v>0</v>
      </c>
      <c r="N7" s="573"/>
      <c r="O7" s="573"/>
      <c r="P7" s="407" t="s">
        <v>324</v>
      </c>
      <c r="Q7" s="407">
        <v>359.3</v>
      </c>
      <c r="R7" s="408">
        <v>339.2</v>
      </c>
      <c r="S7" s="447" t="e">
        <f t="shared" si="0"/>
        <v>#REF!</v>
      </c>
      <c r="U7" s="447"/>
    </row>
    <row r="8" spans="1:23">
      <c r="B8" s="406" t="s">
        <v>326</v>
      </c>
      <c r="C8" s="407">
        <v>-2275745.2999999998</v>
      </c>
      <c r="D8" s="563"/>
      <c r="E8" s="407">
        <v>-114385.3</v>
      </c>
      <c r="F8" s="407">
        <v>-7393.6</v>
      </c>
      <c r="G8" s="407">
        <v>-8501.2000000000007</v>
      </c>
      <c r="H8" s="407">
        <v>-66944.3</v>
      </c>
      <c r="I8" s="407">
        <v>-7829.1</v>
      </c>
      <c r="J8" s="407">
        <v>-18196.099999999999</v>
      </c>
      <c r="K8" s="404" t="e">
        <f>#REF!+J8</f>
        <v>#REF!</v>
      </c>
      <c r="L8" s="573"/>
      <c r="M8" s="573">
        <v>0</v>
      </c>
      <c r="N8" s="573"/>
      <c r="O8" s="573"/>
      <c r="P8" s="407" t="s">
        <v>324</v>
      </c>
      <c r="Q8" s="407">
        <v>-1664.6</v>
      </c>
      <c r="R8" s="408" t="s">
        <v>324</v>
      </c>
      <c r="S8" s="447" t="e">
        <f t="shared" si="0"/>
        <v>#REF!</v>
      </c>
      <c r="U8" s="447"/>
    </row>
    <row r="9" spans="1:23" ht="15">
      <c r="B9" s="409" t="s">
        <v>327</v>
      </c>
      <c r="C9" s="407">
        <v>-20059.5</v>
      </c>
      <c r="D9" s="563"/>
      <c r="E9" s="407">
        <v>-20059.5</v>
      </c>
      <c r="F9" s="407" t="s">
        <v>324</v>
      </c>
      <c r="G9" s="407" t="s">
        <v>324</v>
      </c>
      <c r="H9" s="407">
        <v>-3131</v>
      </c>
      <c r="I9" s="407" t="s">
        <v>324</v>
      </c>
      <c r="J9" s="407" t="s">
        <v>324</v>
      </c>
      <c r="K9" s="404" t="e">
        <f>#REF!+J9</f>
        <v>#REF!</v>
      </c>
      <c r="L9" s="573"/>
      <c r="M9" s="573">
        <v>0</v>
      </c>
      <c r="N9" s="573"/>
      <c r="O9" s="573"/>
      <c r="P9" s="407" t="s">
        <v>324</v>
      </c>
      <c r="Q9" s="407" t="s">
        <v>324</v>
      </c>
      <c r="R9" s="408" t="s">
        <v>324</v>
      </c>
      <c r="S9" s="447" t="e">
        <f t="shared" si="0"/>
        <v>#REF!</v>
      </c>
      <c r="U9" s="447"/>
    </row>
    <row r="10" spans="1:23">
      <c r="B10" s="410" t="s">
        <v>328</v>
      </c>
      <c r="C10" s="407">
        <v>-3131</v>
      </c>
      <c r="D10" s="563"/>
      <c r="E10" s="407">
        <v>-3131</v>
      </c>
      <c r="F10" s="407" t="s">
        <v>324</v>
      </c>
      <c r="G10" s="407" t="s">
        <v>324</v>
      </c>
      <c r="H10" s="407">
        <v>-3131</v>
      </c>
      <c r="I10" s="407" t="s">
        <v>324</v>
      </c>
      <c r="J10" s="407" t="s">
        <v>324</v>
      </c>
      <c r="K10" s="404" t="e">
        <f>#REF!+J10</f>
        <v>#REF!</v>
      </c>
      <c r="L10" s="573"/>
      <c r="M10" s="573">
        <v>0</v>
      </c>
      <c r="N10" s="573"/>
      <c r="O10" s="573"/>
      <c r="P10" s="407" t="s">
        <v>324</v>
      </c>
      <c r="Q10" s="407" t="s">
        <v>324</v>
      </c>
      <c r="R10" s="408" t="s">
        <v>324</v>
      </c>
      <c r="S10" s="447" t="e">
        <f t="shared" si="0"/>
        <v>#REF!</v>
      </c>
      <c r="U10" s="447"/>
    </row>
    <row r="11" spans="1:23">
      <c r="B11" s="410" t="s">
        <v>329</v>
      </c>
      <c r="C11" s="407">
        <v>-16928.5</v>
      </c>
      <c r="D11" s="563"/>
      <c r="E11" s="407">
        <v>-16928.5</v>
      </c>
      <c r="F11" s="407" t="s">
        <v>324</v>
      </c>
      <c r="G11" s="407" t="s">
        <v>324</v>
      </c>
      <c r="H11" s="407" t="s">
        <v>324</v>
      </c>
      <c r="I11" s="407" t="s">
        <v>324</v>
      </c>
      <c r="J11" s="407" t="s">
        <v>324</v>
      </c>
      <c r="K11" s="404" t="e">
        <f>#REF!+J11</f>
        <v>#REF!</v>
      </c>
      <c r="L11" s="573"/>
      <c r="M11" s="573">
        <v>0</v>
      </c>
      <c r="N11" s="573"/>
      <c r="O11" s="573"/>
      <c r="P11" s="407" t="s">
        <v>324</v>
      </c>
      <c r="Q11" s="407" t="s">
        <v>324</v>
      </c>
      <c r="R11" s="408" t="s">
        <v>324</v>
      </c>
      <c r="S11" s="447" t="e">
        <f t="shared" si="0"/>
        <v>#REF!</v>
      </c>
      <c r="U11" s="447"/>
    </row>
    <row r="12" spans="1:23">
      <c r="B12" s="411" t="s">
        <v>330</v>
      </c>
      <c r="C12" s="407">
        <v>-38043.699999999997</v>
      </c>
      <c r="D12" s="563"/>
      <c r="E12" s="407">
        <v>4202</v>
      </c>
      <c r="F12" s="407">
        <v>227.6</v>
      </c>
      <c r="G12" s="407">
        <v>151.19999999999999</v>
      </c>
      <c r="H12" s="407">
        <v>934.2</v>
      </c>
      <c r="I12" s="407">
        <v>1397.6</v>
      </c>
      <c r="J12" s="407">
        <v>1705.7</v>
      </c>
      <c r="K12" s="404" t="e">
        <f>#REF!+J12</f>
        <v>#REF!</v>
      </c>
      <c r="L12" s="573"/>
      <c r="M12" s="573">
        <v>0</v>
      </c>
      <c r="N12" s="573"/>
      <c r="O12" s="573"/>
      <c r="P12" s="407" t="s">
        <v>324</v>
      </c>
      <c r="Q12" s="407" t="s">
        <v>324</v>
      </c>
      <c r="R12" s="408">
        <v>36</v>
      </c>
      <c r="S12" s="447" t="e">
        <f t="shared" si="0"/>
        <v>#REF!</v>
      </c>
      <c r="U12" s="447"/>
    </row>
    <row r="13" spans="1:23">
      <c r="B13" s="412" t="s">
        <v>331</v>
      </c>
      <c r="C13" s="413">
        <v>526208.19999999995</v>
      </c>
      <c r="D13" s="564"/>
      <c r="E13" s="413">
        <v>-129118.5</v>
      </c>
      <c r="F13" s="407">
        <v>-7161.3</v>
      </c>
      <c r="G13" s="407">
        <v>-8332.7000000000007</v>
      </c>
      <c r="H13" s="407">
        <v>-69136.800000000003</v>
      </c>
      <c r="I13" s="407">
        <v>-6431.5</v>
      </c>
      <c r="J13" s="407">
        <v>-15413.9</v>
      </c>
      <c r="K13" s="404" t="e">
        <f>#REF!+J13</f>
        <v>#REF!</v>
      </c>
      <c r="L13" s="574"/>
      <c r="M13" s="574">
        <v>0</v>
      </c>
      <c r="N13" s="574"/>
      <c r="O13" s="574"/>
      <c r="P13" s="407" t="s">
        <v>324</v>
      </c>
      <c r="Q13" s="413">
        <v>-1305.3</v>
      </c>
      <c r="R13" s="414">
        <v>375.2</v>
      </c>
      <c r="S13" s="447" t="e">
        <f t="shared" si="0"/>
        <v>#REF!</v>
      </c>
      <c r="U13" s="447"/>
    </row>
    <row r="14" spans="1:23">
      <c r="B14" s="415" t="s">
        <v>332</v>
      </c>
      <c r="C14" s="413">
        <v>11153</v>
      </c>
      <c r="D14" s="564"/>
      <c r="E14" s="413">
        <v>3054.2</v>
      </c>
      <c r="F14" s="407">
        <v>170.7</v>
      </c>
      <c r="G14" s="407">
        <v>1110.0999999999999</v>
      </c>
      <c r="H14" s="407">
        <v>1309.5999999999999</v>
      </c>
      <c r="I14" s="407">
        <v>89.2</v>
      </c>
      <c r="J14" s="407">
        <v>108.5</v>
      </c>
      <c r="K14" s="404" t="e">
        <f>#REF!+J14</f>
        <v>#REF!</v>
      </c>
      <c r="L14" s="574"/>
      <c r="M14" s="574">
        <v>0</v>
      </c>
      <c r="N14" s="574"/>
      <c r="O14" s="574"/>
      <c r="P14" s="407" t="s">
        <v>324</v>
      </c>
      <c r="Q14" s="413">
        <v>447.5</v>
      </c>
      <c r="R14" s="408" t="s">
        <v>324</v>
      </c>
      <c r="S14" s="447" t="e">
        <f t="shared" si="0"/>
        <v>#REF!</v>
      </c>
      <c r="U14" s="447"/>
    </row>
    <row r="15" spans="1:23">
      <c r="B15" s="415" t="s">
        <v>333</v>
      </c>
      <c r="C15" s="407" t="s">
        <v>324</v>
      </c>
      <c r="D15" s="563"/>
      <c r="E15" s="413">
        <v>-5728.5</v>
      </c>
      <c r="F15" s="407" t="s">
        <v>324</v>
      </c>
      <c r="G15" s="407" t="s">
        <v>324</v>
      </c>
      <c r="H15" s="407" t="s">
        <v>324</v>
      </c>
      <c r="I15" s="407" t="s">
        <v>324</v>
      </c>
      <c r="J15" s="407">
        <v>-5728.5</v>
      </c>
      <c r="K15" s="404" t="e">
        <f>#REF!+J15</f>
        <v>#REF!</v>
      </c>
      <c r="L15" s="573"/>
      <c r="M15" s="573">
        <v>0</v>
      </c>
      <c r="N15" s="573"/>
      <c r="O15" s="573"/>
      <c r="P15" s="407" t="s">
        <v>324</v>
      </c>
      <c r="Q15" s="407" t="s">
        <v>324</v>
      </c>
      <c r="R15" s="408" t="s">
        <v>324</v>
      </c>
      <c r="S15" s="447" t="e">
        <f t="shared" si="0"/>
        <v>#REF!</v>
      </c>
      <c r="U15" s="447"/>
    </row>
    <row r="16" spans="1:23">
      <c r="B16" s="415" t="s">
        <v>334</v>
      </c>
      <c r="C16" s="413">
        <v>-112884.5</v>
      </c>
      <c r="D16" s="564"/>
      <c r="E16" s="413">
        <v>265564.3</v>
      </c>
      <c r="F16" s="407">
        <v>11391.5</v>
      </c>
      <c r="G16" s="407">
        <v>53948.7</v>
      </c>
      <c r="H16" s="407">
        <v>106008.8</v>
      </c>
      <c r="I16" s="407">
        <v>9596.2000000000007</v>
      </c>
      <c r="J16" s="407">
        <v>37657.5</v>
      </c>
      <c r="K16" s="404" t="e">
        <f>#REF!+J16</f>
        <v>#REF!</v>
      </c>
      <c r="L16" s="574"/>
      <c r="M16" s="574">
        <v>0</v>
      </c>
      <c r="N16" s="574"/>
      <c r="O16" s="574"/>
      <c r="P16" s="413">
        <v>3788.8</v>
      </c>
      <c r="Q16" s="413">
        <v>67354.2</v>
      </c>
      <c r="R16" s="414">
        <v>-69.2</v>
      </c>
      <c r="S16" s="447" t="e">
        <f t="shared" si="0"/>
        <v>#REF!</v>
      </c>
      <c r="U16" s="447"/>
    </row>
    <row r="17" spans="2:23">
      <c r="B17" s="410" t="s">
        <v>335</v>
      </c>
      <c r="C17" s="407">
        <v>-59982.8</v>
      </c>
      <c r="D17" s="563"/>
      <c r="E17" s="407">
        <v>-136.5</v>
      </c>
      <c r="F17" s="407" t="s">
        <v>324</v>
      </c>
      <c r="G17" s="407" t="s">
        <v>324</v>
      </c>
      <c r="H17" s="407">
        <v>-136.5</v>
      </c>
      <c r="I17" s="407" t="s">
        <v>324</v>
      </c>
      <c r="J17" s="407" t="s">
        <v>324</v>
      </c>
      <c r="K17" s="404" t="e">
        <f>#REF!+J17</f>
        <v>#REF!</v>
      </c>
      <c r="L17" s="573"/>
      <c r="M17" s="573">
        <v>0</v>
      </c>
      <c r="N17" s="573"/>
      <c r="O17" s="573"/>
      <c r="P17" s="407" t="s">
        <v>324</v>
      </c>
      <c r="Q17" s="407">
        <v>46423.4</v>
      </c>
      <c r="R17" s="408" t="s">
        <v>324</v>
      </c>
      <c r="S17" s="447" t="e">
        <f t="shared" si="0"/>
        <v>#REF!</v>
      </c>
      <c r="U17" s="447"/>
    </row>
    <row r="18" spans="2:23">
      <c r="B18" s="410" t="s">
        <v>336</v>
      </c>
      <c r="C18" s="407">
        <v>-45894.1</v>
      </c>
      <c r="D18" s="563"/>
      <c r="E18" s="407">
        <v>-102</v>
      </c>
      <c r="F18" s="407" t="s">
        <v>324</v>
      </c>
      <c r="G18" s="407" t="s">
        <v>324</v>
      </c>
      <c r="H18" s="407" t="s">
        <v>324</v>
      </c>
      <c r="I18" s="407">
        <v>-102</v>
      </c>
      <c r="J18" s="407" t="s">
        <v>324</v>
      </c>
      <c r="K18" s="404" t="e">
        <f>#REF!+J18</f>
        <v>#REF!</v>
      </c>
      <c r="L18" s="573"/>
      <c r="M18" s="573">
        <v>0</v>
      </c>
      <c r="N18" s="573"/>
      <c r="O18" s="573"/>
      <c r="P18" s="407">
        <v>1311.8</v>
      </c>
      <c r="Q18" s="407">
        <v>20930.8</v>
      </c>
      <c r="R18" s="408" t="s">
        <v>324</v>
      </c>
      <c r="S18" s="447" t="e">
        <f t="shared" si="0"/>
        <v>#REF!</v>
      </c>
      <c r="U18" s="447"/>
    </row>
    <row r="19" spans="2:23">
      <c r="B19" s="410" t="s">
        <v>337</v>
      </c>
      <c r="C19" s="407">
        <v>-818.6</v>
      </c>
      <c r="D19" s="563"/>
      <c r="E19" s="407">
        <v>-131.69999999999999</v>
      </c>
      <c r="F19" s="407" t="s">
        <v>324</v>
      </c>
      <c r="G19" s="407" t="s">
        <v>324</v>
      </c>
      <c r="H19" s="407" t="s">
        <v>324</v>
      </c>
      <c r="I19" s="407">
        <v>-131.69999999999999</v>
      </c>
      <c r="J19" s="407" t="s">
        <v>324</v>
      </c>
      <c r="K19" s="404" t="e">
        <f>#REF!+J19</f>
        <v>#REF!</v>
      </c>
      <c r="L19" s="573"/>
      <c r="M19" s="573">
        <v>0</v>
      </c>
      <c r="N19" s="573"/>
      <c r="O19" s="573"/>
      <c r="P19" s="407">
        <v>2477</v>
      </c>
      <c r="Q19" s="407" t="s">
        <v>324</v>
      </c>
      <c r="R19" s="408" t="s">
        <v>324</v>
      </c>
      <c r="S19" s="447" t="e">
        <f t="shared" si="0"/>
        <v>#REF!</v>
      </c>
      <c r="U19" s="447"/>
    </row>
    <row r="20" spans="2:23">
      <c r="B20" s="410" t="s">
        <v>338</v>
      </c>
      <c r="C20" s="407">
        <v>2218.8000000000002</v>
      </c>
      <c r="D20" s="563"/>
      <c r="E20" s="407">
        <v>2671.9</v>
      </c>
      <c r="F20" s="407">
        <v>1242.5</v>
      </c>
      <c r="G20" s="407" t="s">
        <v>324</v>
      </c>
      <c r="H20" s="407" t="s">
        <v>324</v>
      </c>
      <c r="I20" s="407" t="s">
        <v>324</v>
      </c>
      <c r="J20" s="407">
        <v>1429.4</v>
      </c>
      <c r="K20" s="404" t="e">
        <f>#REF!+J20</f>
        <v>#REF!</v>
      </c>
      <c r="L20" s="573"/>
      <c r="M20" s="573">
        <v>0</v>
      </c>
      <c r="N20" s="573"/>
      <c r="O20" s="573"/>
      <c r="P20" s="407" t="s">
        <v>324</v>
      </c>
      <c r="Q20" s="407" t="s">
        <v>324</v>
      </c>
      <c r="R20" s="408" t="s">
        <v>324</v>
      </c>
      <c r="S20" s="447" t="e">
        <f t="shared" si="0"/>
        <v>#REF!</v>
      </c>
      <c r="U20" s="447"/>
    </row>
    <row r="21" spans="2:23">
      <c r="B21" s="410" t="s">
        <v>339</v>
      </c>
      <c r="C21" s="407">
        <v>-69.2</v>
      </c>
      <c r="D21" s="563"/>
      <c r="E21" s="407" t="s">
        <v>324</v>
      </c>
      <c r="F21" s="407" t="s">
        <v>324</v>
      </c>
      <c r="G21" s="407" t="s">
        <v>324</v>
      </c>
      <c r="H21" s="407" t="s">
        <v>324</v>
      </c>
      <c r="I21" s="407" t="s">
        <v>324</v>
      </c>
      <c r="J21" s="407" t="s">
        <v>324</v>
      </c>
      <c r="K21" s="404" t="e">
        <f>#REF!+J21</f>
        <v>#REF!</v>
      </c>
      <c r="L21" s="573"/>
      <c r="M21" s="573">
        <v>0</v>
      </c>
      <c r="N21" s="573"/>
      <c r="O21" s="573"/>
      <c r="P21" s="407" t="s">
        <v>324</v>
      </c>
      <c r="Q21" s="407" t="s">
        <v>324</v>
      </c>
      <c r="R21" s="408">
        <v>-69.2</v>
      </c>
      <c r="S21" s="447" t="e">
        <f t="shared" si="0"/>
        <v>#REF!</v>
      </c>
      <c r="U21" s="447"/>
    </row>
    <row r="22" spans="2:23" ht="15">
      <c r="B22" s="416" t="s">
        <v>340</v>
      </c>
      <c r="C22" s="407">
        <v>-9210.2999999999993</v>
      </c>
      <c r="D22" s="563"/>
      <c r="E22" s="407">
        <v>262390.90000000002</v>
      </c>
      <c r="F22" s="407">
        <v>10149</v>
      </c>
      <c r="G22" s="407">
        <v>53948.7</v>
      </c>
      <c r="H22" s="407">
        <v>106145.3</v>
      </c>
      <c r="I22" s="407">
        <v>9829.9</v>
      </c>
      <c r="J22" s="407">
        <v>35356.400000000001</v>
      </c>
      <c r="K22" s="404" t="e">
        <f>#REF!+J22</f>
        <v>#REF!</v>
      </c>
      <c r="L22" s="573"/>
      <c r="M22" s="573">
        <v>0</v>
      </c>
      <c r="N22" s="573"/>
      <c r="O22" s="573"/>
      <c r="P22" s="407" t="s">
        <v>324</v>
      </c>
      <c r="Q22" s="407" t="s">
        <v>324</v>
      </c>
      <c r="R22" s="408" t="s">
        <v>324</v>
      </c>
      <c r="S22" s="447" t="e">
        <f t="shared" si="0"/>
        <v>#REF!</v>
      </c>
      <c r="U22" s="447"/>
    </row>
    <row r="23" spans="2:23" ht="15">
      <c r="B23" s="416" t="s">
        <v>341</v>
      </c>
      <c r="C23" s="407">
        <v>871.7</v>
      </c>
      <c r="D23" s="563"/>
      <c r="E23" s="407">
        <v>871.7</v>
      </c>
      <c r="F23" s="407" t="s">
        <v>324</v>
      </c>
      <c r="G23" s="407" t="s">
        <v>324</v>
      </c>
      <c r="H23" s="407" t="s">
        <v>324</v>
      </c>
      <c r="I23" s="407" t="s">
        <v>324</v>
      </c>
      <c r="J23" s="407">
        <v>871.7</v>
      </c>
      <c r="K23" s="404" t="e">
        <f>#REF!+J23</f>
        <v>#REF!</v>
      </c>
      <c r="L23" s="573"/>
      <c r="M23" s="573">
        <v>0</v>
      </c>
      <c r="N23" s="573"/>
      <c r="O23" s="573"/>
      <c r="P23" s="407" t="s">
        <v>324</v>
      </c>
      <c r="Q23" s="407" t="s">
        <v>324</v>
      </c>
      <c r="R23" s="408" t="s">
        <v>324</v>
      </c>
      <c r="S23" s="447" t="e">
        <f t="shared" si="0"/>
        <v>#REF!</v>
      </c>
      <c r="U23" s="447"/>
    </row>
    <row r="24" spans="2:23">
      <c r="B24" s="410" t="s">
        <v>342</v>
      </c>
      <c r="C24" s="407" t="s">
        <v>324</v>
      </c>
      <c r="D24" s="563"/>
      <c r="E24" s="407" t="s">
        <v>324</v>
      </c>
      <c r="F24" s="407" t="s">
        <v>324</v>
      </c>
      <c r="G24" s="407" t="s">
        <v>324</v>
      </c>
      <c r="H24" s="407" t="s">
        <v>324</v>
      </c>
      <c r="I24" s="407" t="s">
        <v>324</v>
      </c>
      <c r="J24" s="407" t="s">
        <v>324</v>
      </c>
      <c r="K24" s="404" t="e">
        <f>#REF!+J24</f>
        <v>#REF!</v>
      </c>
      <c r="L24" s="573"/>
      <c r="M24" s="573">
        <v>0</v>
      </c>
      <c r="N24" s="573"/>
      <c r="O24" s="573"/>
      <c r="P24" s="407" t="s">
        <v>324</v>
      </c>
      <c r="Q24" s="407" t="s">
        <v>324</v>
      </c>
      <c r="R24" s="408" t="s">
        <v>324</v>
      </c>
      <c r="S24" s="447" t="e">
        <f t="shared" si="0"/>
        <v>#REF!</v>
      </c>
      <c r="U24" s="447"/>
    </row>
    <row r="25" spans="2:23" ht="15">
      <c r="B25" s="417" t="s">
        <v>343</v>
      </c>
      <c r="C25" s="413">
        <v>38973.800000000003</v>
      </c>
      <c r="D25" s="564"/>
      <c r="E25" s="413">
        <v>17169.5</v>
      </c>
      <c r="F25" s="407" t="s">
        <v>324</v>
      </c>
      <c r="G25" s="407" t="s">
        <v>324</v>
      </c>
      <c r="H25" s="407">
        <v>85.3</v>
      </c>
      <c r="I25" s="407">
        <v>696.7</v>
      </c>
      <c r="J25" s="407">
        <v>5236.5</v>
      </c>
      <c r="K25" s="404" t="e">
        <f>#REF!+J25</f>
        <v>#REF!</v>
      </c>
      <c r="L25" s="574"/>
      <c r="M25" s="574">
        <v>0</v>
      </c>
      <c r="N25" s="574"/>
      <c r="O25" s="574"/>
      <c r="P25" s="413">
        <v>974.7</v>
      </c>
      <c r="Q25" s="413">
        <v>7771.7</v>
      </c>
      <c r="R25" s="408" t="s">
        <v>324</v>
      </c>
      <c r="S25" s="447" t="e">
        <f t="shared" si="0"/>
        <v>#REF!</v>
      </c>
      <c r="U25" s="447"/>
    </row>
    <row r="26" spans="2:23" ht="15">
      <c r="B26" s="417" t="s">
        <v>344</v>
      </c>
      <c r="C26" s="413">
        <v>59811.7</v>
      </c>
      <c r="D26" s="564"/>
      <c r="E26" s="413"/>
      <c r="F26" s="407" t="s">
        <v>324</v>
      </c>
      <c r="G26" s="407" t="s">
        <v>324</v>
      </c>
      <c r="H26" s="407" t="s">
        <v>324</v>
      </c>
      <c r="I26" s="407" t="s">
        <v>324</v>
      </c>
      <c r="J26" s="407" t="s">
        <v>324</v>
      </c>
      <c r="K26" s="404" t="e">
        <f>#REF!+J26</f>
        <v>#REF!</v>
      </c>
      <c r="L26" s="574"/>
      <c r="M26" s="574">
        <v>0</v>
      </c>
      <c r="N26" s="574"/>
      <c r="O26" s="574"/>
      <c r="P26" s="413">
        <v>505.8</v>
      </c>
      <c r="Q26" s="413">
        <v>13788.4</v>
      </c>
      <c r="R26" s="408" t="s">
        <v>324</v>
      </c>
      <c r="S26" s="447" t="e">
        <f t="shared" si="0"/>
        <v>#REF!</v>
      </c>
      <c r="U26" s="447"/>
    </row>
    <row r="27" spans="2:23" ht="15">
      <c r="B27" s="417" t="s">
        <v>345</v>
      </c>
      <c r="C27" s="413">
        <v>303385.2</v>
      </c>
      <c r="D27" s="564"/>
      <c r="E27" s="413">
        <v>110493.6</v>
      </c>
      <c r="F27" s="407">
        <v>4059.5</v>
      </c>
      <c r="G27" s="407">
        <v>44505.9</v>
      </c>
      <c r="H27" s="407">
        <v>35477.1</v>
      </c>
      <c r="I27" s="407">
        <v>2378.8000000000002</v>
      </c>
      <c r="J27" s="407">
        <v>11170.1</v>
      </c>
      <c r="K27" s="404" t="e">
        <f>#REF!+J27</f>
        <v>#REF!</v>
      </c>
      <c r="L27" s="574"/>
      <c r="M27" s="574">
        <v>0</v>
      </c>
      <c r="N27" s="574"/>
      <c r="O27" s="574"/>
      <c r="P27" s="413">
        <v>2308.3000000000002</v>
      </c>
      <c r="Q27" s="413">
        <v>44041.3</v>
      </c>
      <c r="R27" s="414">
        <v>306</v>
      </c>
      <c r="S27" s="447" t="e">
        <f t="shared" si="0"/>
        <v>#REF!</v>
      </c>
      <c r="U27" s="447"/>
    </row>
    <row r="28" spans="2:23" ht="15">
      <c r="B28" s="417" t="s">
        <v>346</v>
      </c>
      <c r="C28" s="413">
        <v>280902.3</v>
      </c>
      <c r="D28" s="564"/>
      <c r="E28" s="413">
        <v>89661.8</v>
      </c>
      <c r="F28" s="407">
        <v>3822.4</v>
      </c>
      <c r="G28" s="407">
        <v>44505.9</v>
      </c>
      <c r="H28" s="407">
        <v>35477.1</v>
      </c>
      <c r="I28" s="407">
        <v>1869</v>
      </c>
      <c r="J28" s="407"/>
      <c r="K28" s="404" t="e">
        <f>#REF!+J28</f>
        <v>#REF!</v>
      </c>
      <c r="L28" s="574"/>
      <c r="M28" s="574">
        <v>0</v>
      </c>
      <c r="N28" s="574"/>
      <c r="O28" s="574"/>
      <c r="P28" s="413">
        <v>2308.3000000000002</v>
      </c>
      <c r="Q28" s="413">
        <v>44041.3</v>
      </c>
      <c r="R28" s="414">
        <v>174.1</v>
      </c>
      <c r="S28" s="447" t="e">
        <f t="shared" si="0"/>
        <v>#REF!</v>
      </c>
      <c r="U28" s="447"/>
    </row>
    <row r="29" spans="2:23">
      <c r="B29" s="418" t="s">
        <v>347</v>
      </c>
      <c r="C29" s="565">
        <v>2372614.094</v>
      </c>
      <c r="D29" s="566">
        <v>137677.60399999999</v>
      </c>
      <c r="E29" s="565">
        <v>168128.35399999999</v>
      </c>
      <c r="F29" s="565">
        <v>10955.378000000001</v>
      </c>
      <c r="G29" s="565">
        <v>0</v>
      </c>
      <c r="H29" s="565">
        <v>72878.604999999996</v>
      </c>
      <c r="I29" s="565">
        <v>59432.603999999999</v>
      </c>
      <c r="J29" s="565">
        <f t="shared" ref="J29:J42" si="1">E29-SUM(F29:I29)-W29</f>
        <v>9240.8669999999929</v>
      </c>
      <c r="K29" s="404">
        <v>859418.48</v>
      </c>
      <c r="L29" s="554">
        <v>6513</v>
      </c>
      <c r="M29" s="554">
        <v>2021.52</v>
      </c>
      <c r="N29" s="554">
        <v>101118</v>
      </c>
      <c r="O29" s="554">
        <v>42652</v>
      </c>
      <c r="P29" s="565">
        <v>146022</v>
      </c>
      <c r="Q29" s="565">
        <v>822618</v>
      </c>
      <c r="R29" s="566">
        <v>102066</v>
      </c>
      <c r="S29" s="447">
        <f t="shared" si="0"/>
        <v>2372614.0579999997</v>
      </c>
      <c r="T29" s="447">
        <f t="shared" ref="T29:T42" si="2">S29-C29</f>
        <v>-3.6000000312924385E-2</v>
      </c>
      <c r="U29" s="447"/>
      <c r="W29" s="400">
        <v>15620.9</v>
      </c>
    </row>
    <row r="30" spans="2:23" ht="15">
      <c r="B30" s="419" t="s">
        <v>348</v>
      </c>
      <c r="C30" s="566">
        <v>330774.06900000002</v>
      </c>
      <c r="D30" s="565">
        <v>29540.659</v>
      </c>
      <c r="E30" s="566">
        <v>4206.5839999999998</v>
      </c>
      <c r="F30" s="566">
        <v>2623.7669999999998</v>
      </c>
      <c r="G30" s="566">
        <v>0</v>
      </c>
      <c r="H30" s="566">
        <v>1286.8499999999999</v>
      </c>
      <c r="I30" s="566">
        <v>201.74</v>
      </c>
      <c r="J30" s="565">
        <f t="shared" si="1"/>
        <v>94.226999999999862</v>
      </c>
      <c r="K30" s="404">
        <v>99519.558000000005</v>
      </c>
      <c r="L30" s="553">
        <v>0</v>
      </c>
      <c r="M30" s="553">
        <v>134.768</v>
      </c>
      <c r="N30" s="553">
        <v>0</v>
      </c>
      <c r="O30" s="553">
        <v>0</v>
      </c>
      <c r="P30" s="566">
        <v>1774</v>
      </c>
      <c r="Q30" s="566">
        <v>97534.8</v>
      </c>
      <c r="R30" s="565">
        <v>98063.7</v>
      </c>
      <c r="S30" s="447">
        <f t="shared" si="0"/>
        <v>330774.06900000002</v>
      </c>
      <c r="T30" s="447">
        <f t="shared" si="2"/>
        <v>0</v>
      </c>
      <c r="U30" s="447"/>
      <c r="W30" s="400">
        <v>0</v>
      </c>
    </row>
    <row r="31" spans="2:23" ht="15">
      <c r="B31" s="419" t="s">
        <v>349</v>
      </c>
      <c r="C31" s="565">
        <v>588419.799</v>
      </c>
      <c r="D31" s="566">
        <v>21580.32</v>
      </c>
      <c r="E31" s="565">
        <v>62032.112000000001</v>
      </c>
      <c r="F31" s="565">
        <v>0</v>
      </c>
      <c r="G31" s="565">
        <v>0</v>
      </c>
      <c r="H31" s="565">
        <v>2916.86</v>
      </c>
      <c r="I31" s="565">
        <v>45956.372000000003</v>
      </c>
      <c r="J31" s="565">
        <f t="shared" si="1"/>
        <v>-2.0000000002255547E-2</v>
      </c>
      <c r="K31" s="404">
        <v>237284.88700000002</v>
      </c>
      <c r="L31" s="554">
        <v>4839</v>
      </c>
      <c r="M31" s="554">
        <v>168.46</v>
      </c>
      <c r="N31" s="554">
        <v>1701</v>
      </c>
      <c r="O31" s="554">
        <v>6545</v>
      </c>
      <c r="P31" s="565">
        <v>75475</v>
      </c>
      <c r="Q31" s="565">
        <v>188413.2</v>
      </c>
      <c r="R31" s="566">
        <v>3539.7</v>
      </c>
      <c r="S31" s="447">
        <f t="shared" si="0"/>
        <v>588419.77899999998</v>
      </c>
      <c r="T31" s="447">
        <f t="shared" si="2"/>
        <v>-2.0000000018626451E-2</v>
      </c>
      <c r="U31" s="447"/>
      <c r="W31" s="400">
        <v>13158.9</v>
      </c>
    </row>
    <row r="32" spans="2:23" ht="15">
      <c r="B32" s="419" t="s">
        <v>350</v>
      </c>
      <c r="C32" s="566">
        <v>89446.138000000006</v>
      </c>
      <c r="D32" s="565">
        <v>1043.671</v>
      </c>
      <c r="E32" s="566">
        <v>4189.7929999999997</v>
      </c>
      <c r="F32" s="566">
        <v>184.124</v>
      </c>
      <c r="G32" s="566">
        <v>0</v>
      </c>
      <c r="H32" s="566">
        <v>1372.64</v>
      </c>
      <c r="I32" s="566">
        <v>968.35199999999998</v>
      </c>
      <c r="J32" s="565">
        <f t="shared" si="1"/>
        <v>1664.6769999999997</v>
      </c>
      <c r="K32" s="404">
        <v>32190.673999999999</v>
      </c>
      <c r="L32" s="553">
        <v>17</v>
      </c>
      <c r="M32" s="553">
        <v>0</v>
      </c>
      <c r="N32" s="553">
        <v>0</v>
      </c>
      <c r="O32" s="553">
        <v>312</v>
      </c>
      <c r="P32" s="566">
        <v>2571</v>
      </c>
      <c r="Q32" s="566">
        <v>49122</v>
      </c>
      <c r="R32" s="565">
        <v>0</v>
      </c>
      <c r="S32" s="447">
        <f t="shared" si="0"/>
        <v>89446.138000000006</v>
      </c>
      <c r="T32" s="447">
        <f t="shared" si="2"/>
        <v>0</v>
      </c>
      <c r="U32" s="447"/>
      <c r="W32" s="400">
        <v>0</v>
      </c>
    </row>
    <row r="33" spans="2:23" ht="15">
      <c r="B33" s="419" t="s">
        <v>351</v>
      </c>
      <c r="C33" s="565">
        <v>272879.16200000001</v>
      </c>
      <c r="D33" s="566">
        <v>56552.896000000001</v>
      </c>
      <c r="E33" s="565">
        <v>28630.937999999998</v>
      </c>
      <c r="F33" s="565">
        <v>1242.837</v>
      </c>
      <c r="G33" s="565">
        <v>0</v>
      </c>
      <c r="H33" s="565">
        <v>12396.655000000001</v>
      </c>
      <c r="I33" s="565">
        <v>7746.8159999999998</v>
      </c>
      <c r="J33" s="565">
        <f t="shared" si="1"/>
        <v>7244.6299999999974</v>
      </c>
      <c r="K33" s="404">
        <v>102503.992</v>
      </c>
      <c r="L33" s="554">
        <v>17</v>
      </c>
      <c r="M33" s="554">
        <v>1111.836</v>
      </c>
      <c r="N33" s="554">
        <v>6041</v>
      </c>
      <c r="O33" s="554">
        <v>33264</v>
      </c>
      <c r="P33" s="565">
        <v>608</v>
      </c>
      <c r="Q33" s="565">
        <v>44042.400000000001</v>
      </c>
      <c r="R33" s="566">
        <v>107.1</v>
      </c>
      <c r="S33" s="447">
        <f t="shared" si="0"/>
        <v>272879.16200000001</v>
      </c>
      <c r="T33" s="447">
        <f t="shared" si="2"/>
        <v>0</v>
      </c>
      <c r="U33" s="447"/>
      <c r="W33" s="400">
        <v>0</v>
      </c>
    </row>
    <row r="34" spans="2:23" ht="15">
      <c r="B34" s="419" t="s">
        <v>352</v>
      </c>
      <c r="C34" s="566">
        <v>123559.23299999999</v>
      </c>
      <c r="D34" s="565">
        <v>687.6</v>
      </c>
      <c r="E34" s="566">
        <v>4004.915</v>
      </c>
      <c r="F34" s="566">
        <v>230.155</v>
      </c>
      <c r="G34" s="566">
        <v>0</v>
      </c>
      <c r="H34" s="566">
        <v>3774.76</v>
      </c>
      <c r="I34" s="566">
        <v>0</v>
      </c>
      <c r="J34" s="565">
        <f t="shared" si="1"/>
        <v>-4.5474735088646412E-13</v>
      </c>
      <c r="K34" s="404">
        <v>38022.741999999998</v>
      </c>
      <c r="L34" s="553">
        <v>0</v>
      </c>
      <c r="M34" s="553">
        <v>101.07599999999999</v>
      </c>
      <c r="N34" s="553">
        <v>239</v>
      </c>
      <c r="O34" s="553">
        <v>0</v>
      </c>
      <c r="P34" s="566">
        <v>15937</v>
      </c>
      <c r="Q34" s="566">
        <v>64216.800000000003</v>
      </c>
      <c r="R34" s="565">
        <v>350.1</v>
      </c>
      <c r="S34" s="447">
        <f t="shared" si="0"/>
        <v>123559.23300000001</v>
      </c>
      <c r="T34" s="447">
        <f t="shared" si="2"/>
        <v>0</v>
      </c>
      <c r="U34" s="447"/>
      <c r="W34" s="400">
        <v>0</v>
      </c>
    </row>
    <row r="35" spans="2:23" ht="15">
      <c r="B35" s="419" t="s">
        <v>260</v>
      </c>
      <c r="C35" s="565">
        <v>232432.842</v>
      </c>
      <c r="D35" s="566">
        <v>720.02099999999996</v>
      </c>
      <c r="E35" s="565">
        <v>23341.79</v>
      </c>
      <c r="F35" s="565">
        <v>2439.643</v>
      </c>
      <c r="G35" s="565">
        <v>0</v>
      </c>
      <c r="H35" s="565">
        <v>20718.285</v>
      </c>
      <c r="I35" s="565">
        <v>121.044</v>
      </c>
      <c r="J35" s="565">
        <f t="shared" si="1"/>
        <v>62.817999999999302</v>
      </c>
      <c r="K35" s="404">
        <v>74901.570999999996</v>
      </c>
      <c r="L35" s="554">
        <v>33</v>
      </c>
      <c r="M35" s="554">
        <v>168.46</v>
      </c>
      <c r="N35" s="554">
        <v>1648</v>
      </c>
      <c r="O35" s="554">
        <v>8</v>
      </c>
      <c r="P35" s="565">
        <v>13136</v>
      </c>
      <c r="Q35" s="565">
        <v>118476</v>
      </c>
      <c r="R35" s="566">
        <v>0</v>
      </c>
      <c r="S35" s="447">
        <f t="shared" si="0"/>
        <v>232432.842</v>
      </c>
      <c r="T35" s="447">
        <f t="shared" si="2"/>
        <v>0</v>
      </c>
      <c r="U35" s="447"/>
      <c r="W35" s="400">
        <v>0</v>
      </c>
    </row>
    <row r="36" spans="2:23">
      <c r="B36" s="420" t="s">
        <v>353</v>
      </c>
      <c r="C36" s="566">
        <v>18503.191999999999</v>
      </c>
      <c r="D36" s="565">
        <v>2252.96</v>
      </c>
      <c r="E36" s="566">
        <v>1661.577</v>
      </c>
      <c r="F36" s="566">
        <v>414.279</v>
      </c>
      <c r="G36" s="566">
        <v>0</v>
      </c>
      <c r="H36" s="566">
        <v>1072.375</v>
      </c>
      <c r="I36" s="566">
        <v>80.695999999999998</v>
      </c>
      <c r="J36" s="565">
        <f t="shared" si="1"/>
        <v>94.227000000000089</v>
      </c>
      <c r="K36" s="404">
        <v>6125.4709999999995</v>
      </c>
      <c r="L36" s="553">
        <v>0</v>
      </c>
      <c r="M36" s="553">
        <v>67.384</v>
      </c>
      <c r="N36" s="553">
        <v>571</v>
      </c>
      <c r="O36" s="553">
        <v>0</v>
      </c>
      <c r="P36" s="566">
        <v>56</v>
      </c>
      <c r="Q36" s="566">
        <v>7768.8</v>
      </c>
      <c r="R36" s="565">
        <v>0</v>
      </c>
      <c r="S36" s="447">
        <f t="shared" si="0"/>
        <v>18503.191999999999</v>
      </c>
      <c r="T36" s="447">
        <f t="shared" si="2"/>
        <v>0</v>
      </c>
      <c r="U36" s="447"/>
      <c r="W36" s="400">
        <v>0</v>
      </c>
    </row>
    <row r="37" spans="2:23">
      <c r="B37" s="420" t="s">
        <v>354</v>
      </c>
      <c r="C37" s="565">
        <v>201710.19500000001</v>
      </c>
      <c r="D37" s="566">
        <v>8542.4750000000004</v>
      </c>
      <c r="E37" s="565">
        <v>16688.75</v>
      </c>
      <c r="F37" s="565">
        <v>1795.2090000000001</v>
      </c>
      <c r="G37" s="565">
        <v>0</v>
      </c>
      <c r="H37" s="565">
        <v>12997.184999999999</v>
      </c>
      <c r="I37" s="565">
        <v>1896.356</v>
      </c>
      <c r="J37" s="565">
        <f t="shared" si="1"/>
        <v>0</v>
      </c>
      <c r="K37" s="404">
        <v>105401.126</v>
      </c>
      <c r="L37" s="554">
        <v>583</v>
      </c>
      <c r="M37" s="554">
        <v>235.84399999999999</v>
      </c>
      <c r="N37" s="554">
        <v>1184</v>
      </c>
      <c r="O37" s="554">
        <v>384</v>
      </c>
      <c r="P37" s="565">
        <v>5601</v>
      </c>
      <c r="Q37" s="565">
        <v>63090</v>
      </c>
      <c r="R37" s="566">
        <v>0</v>
      </c>
      <c r="S37" s="447">
        <f t="shared" si="0"/>
        <v>201710.19500000001</v>
      </c>
      <c r="T37" s="447">
        <f t="shared" si="2"/>
        <v>0</v>
      </c>
      <c r="U37" s="447"/>
      <c r="W37" s="400">
        <v>0</v>
      </c>
    </row>
    <row r="38" spans="2:23">
      <c r="B38" s="420" t="s">
        <v>355</v>
      </c>
      <c r="C38" s="566">
        <v>262458.24099999998</v>
      </c>
      <c r="D38" s="565">
        <v>15931.112999999999</v>
      </c>
      <c r="E38" s="566">
        <v>4132.2299999999996</v>
      </c>
      <c r="F38" s="566">
        <v>368.24799999999999</v>
      </c>
      <c r="G38" s="566">
        <v>0</v>
      </c>
      <c r="H38" s="566">
        <v>2916.86</v>
      </c>
      <c r="I38" s="566">
        <v>806.96</v>
      </c>
      <c r="J38" s="565">
        <f t="shared" si="1"/>
        <v>40.161999999999352</v>
      </c>
      <c r="K38" s="404">
        <v>94414.698000000004</v>
      </c>
      <c r="L38" s="553">
        <v>943</v>
      </c>
      <c r="M38" s="553">
        <v>0</v>
      </c>
      <c r="N38" s="553">
        <v>39709</v>
      </c>
      <c r="O38" s="553">
        <v>2134</v>
      </c>
      <c r="P38" s="566">
        <v>17725</v>
      </c>
      <c r="Q38" s="566">
        <v>87469.2</v>
      </c>
      <c r="R38" s="565">
        <v>0</v>
      </c>
      <c r="S38" s="447">
        <f t="shared" ref="S38:S69" si="3">SUM(F38:R38)+D38</f>
        <v>262458.24100000004</v>
      </c>
      <c r="T38" s="447">
        <f t="shared" si="2"/>
        <v>0</v>
      </c>
      <c r="U38" s="447"/>
      <c r="W38" s="400">
        <v>0</v>
      </c>
    </row>
    <row r="39" spans="2:23" ht="15">
      <c r="B39" s="419" t="s">
        <v>356</v>
      </c>
      <c r="C39" s="565">
        <v>75463.909</v>
      </c>
      <c r="D39" s="566">
        <v>42.006</v>
      </c>
      <c r="E39" s="565">
        <v>2732.73</v>
      </c>
      <c r="F39" s="565">
        <v>46.030999999999999</v>
      </c>
      <c r="G39" s="565">
        <v>0</v>
      </c>
      <c r="H39" s="565">
        <v>1758.6949999999999</v>
      </c>
      <c r="I39" s="565">
        <v>928.00400000000002</v>
      </c>
      <c r="J39" s="565">
        <f t="shared" si="1"/>
        <v>0</v>
      </c>
      <c r="K39" s="404">
        <v>6317.1729999999998</v>
      </c>
      <c r="L39" s="554">
        <v>0</v>
      </c>
      <c r="M39" s="554">
        <v>0</v>
      </c>
      <c r="N39" s="554">
        <v>45952</v>
      </c>
      <c r="O39" s="554">
        <v>0</v>
      </c>
      <c r="P39" s="565">
        <v>4184</v>
      </c>
      <c r="Q39" s="565">
        <v>16236</v>
      </c>
      <c r="R39" s="566">
        <v>0</v>
      </c>
      <c r="S39" s="447">
        <f t="shared" si="3"/>
        <v>75463.908999999985</v>
      </c>
      <c r="T39" s="447">
        <f t="shared" si="2"/>
        <v>0</v>
      </c>
      <c r="U39" s="447"/>
      <c r="W39" s="400">
        <v>0</v>
      </c>
    </row>
    <row r="40" spans="2:23">
      <c r="B40" s="420" t="s">
        <v>357</v>
      </c>
      <c r="C40" s="565">
        <v>24704.761999999999</v>
      </c>
      <c r="D40" s="566">
        <v>426.83199999999999</v>
      </c>
      <c r="E40" s="565">
        <v>1781.8030000000001</v>
      </c>
      <c r="F40" s="565">
        <v>46.030999999999999</v>
      </c>
      <c r="G40" s="565">
        <v>0</v>
      </c>
      <c r="H40" s="565">
        <v>1372.64</v>
      </c>
      <c r="I40" s="565">
        <v>363.13200000000001</v>
      </c>
      <c r="J40" s="565">
        <f t="shared" si="1"/>
        <v>0</v>
      </c>
      <c r="K40" s="404">
        <v>10936.927</v>
      </c>
      <c r="L40" s="554">
        <v>15</v>
      </c>
      <c r="M40" s="554">
        <v>0</v>
      </c>
      <c r="N40" s="554">
        <v>88</v>
      </c>
      <c r="O40" s="554">
        <v>0</v>
      </c>
      <c r="P40" s="565">
        <v>2521</v>
      </c>
      <c r="Q40" s="565">
        <v>8935.2000000000007</v>
      </c>
      <c r="R40" s="566">
        <v>0</v>
      </c>
      <c r="S40" s="447">
        <f t="shared" si="3"/>
        <v>24704.761999999999</v>
      </c>
      <c r="T40" s="447">
        <f t="shared" si="2"/>
        <v>0</v>
      </c>
      <c r="U40" s="447"/>
      <c r="W40" s="400">
        <v>0</v>
      </c>
    </row>
    <row r="41" spans="2:23">
      <c r="B41" s="420" t="s">
        <v>215</v>
      </c>
      <c r="C41" s="566">
        <v>36138.853999999999</v>
      </c>
      <c r="D41" s="565">
        <v>0</v>
      </c>
      <c r="E41" s="566">
        <v>0</v>
      </c>
      <c r="F41" s="566">
        <v>0</v>
      </c>
      <c r="G41" s="566">
        <v>0</v>
      </c>
      <c r="H41" s="566">
        <v>0</v>
      </c>
      <c r="I41" s="566">
        <v>0</v>
      </c>
      <c r="J41" s="565">
        <f t="shared" si="1"/>
        <v>0</v>
      </c>
      <c r="K41" s="404">
        <v>21828.853999999999</v>
      </c>
      <c r="L41" s="553">
        <v>0</v>
      </c>
      <c r="M41" s="553">
        <v>0</v>
      </c>
      <c r="N41" s="553">
        <v>0</v>
      </c>
      <c r="O41" s="553">
        <v>0</v>
      </c>
      <c r="P41" s="566">
        <v>0</v>
      </c>
      <c r="Q41" s="566">
        <v>14310</v>
      </c>
      <c r="R41" s="565">
        <v>0</v>
      </c>
      <c r="S41" s="447">
        <f t="shared" si="3"/>
        <v>36138.853999999999</v>
      </c>
      <c r="T41" s="447">
        <f t="shared" si="2"/>
        <v>0</v>
      </c>
      <c r="U41" s="447"/>
      <c r="W41" s="400">
        <v>0</v>
      </c>
    </row>
    <row r="42" spans="2:23" ht="15">
      <c r="B42" s="419" t="s">
        <v>358</v>
      </c>
      <c r="C42" s="566">
        <v>116123.69500000001</v>
      </c>
      <c r="D42" s="565">
        <v>357.05099999999999</v>
      </c>
      <c r="E42" s="566">
        <v>14725.132</v>
      </c>
      <c r="F42" s="566">
        <v>1565.0540000000001</v>
      </c>
      <c r="G42" s="566">
        <v>0</v>
      </c>
      <c r="H42" s="566">
        <v>10294.799999999999</v>
      </c>
      <c r="I42" s="566">
        <v>363.13200000000001</v>
      </c>
      <c r="J42" s="565">
        <f t="shared" si="1"/>
        <v>40.14600000000064</v>
      </c>
      <c r="K42" s="404">
        <v>29970.804</v>
      </c>
      <c r="L42" s="553">
        <v>66</v>
      </c>
      <c r="M42" s="553">
        <v>33.692</v>
      </c>
      <c r="N42" s="553">
        <v>3985</v>
      </c>
      <c r="O42" s="553">
        <v>5</v>
      </c>
      <c r="P42" s="566">
        <v>6434</v>
      </c>
      <c r="Q42" s="566">
        <v>63003.6</v>
      </c>
      <c r="R42" s="565">
        <v>5.4</v>
      </c>
      <c r="S42" s="447">
        <f t="shared" si="3"/>
        <v>116123.679</v>
      </c>
      <c r="T42" s="447">
        <f t="shared" si="2"/>
        <v>-1.6000000003259629E-2</v>
      </c>
      <c r="U42" s="447"/>
      <c r="W42" s="400">
        <v>2462</v>
      </c>
    </row>
    <row r="43" spans="2:23" ht="15">
      <c r="B43" s="421" t="s">
        <v>359</v>
      </c>
      <c r="C43" s="413">
        <v>71350.899999999994</v>
      </c>
      <c r="D43" s="564"/>
      <c r="E43" s="413">
        <v>69214.7</v>
      </c>
      <c r="F43" s="407">
        <v>901.1</v>
      </c>
      <c r="G43" s="407">
        <v>43978.9</v>
      </c>
      <c r="H43" s="407">
        <v>20398.099999999999</v>
      </c>
      <c r="I43" s="407">
        <v>55.2</v>
      </c>
      <c r="J43" s="407"/>
      <c r="K43" s="404" t="e">
        <f>#REF!+J43</f>
        <v>#REF!</v>
      </c>
      <c r="L43" s="574"/>
      <c r="M43" s="574">
        <v>0</v>
      </c>
      <c r="N43" s="574"/>
      <c r="O43" s="574"/>
      <c r="P43" s="407"/>
      <c r="Q43" s="413">
        <v>1959.8</v>
      </c>
      <c r="R43" s="414">
        <v>174.3</v>
      </c>
      <c r="S43" s="447" t="e">
        <f t="shared" si="3"/>
        <v>#REF!</v>
      </c>
      <c r="U43" s="447"/>
    </row>
    <row r="44" spans="2:23">
      <c r="B44" s="420" t="s">
        <v>360</v>
      </c>
      <c r="C44" s="407">
        <v>64010.8</v>
      </c>
      <c r="D44" s="563"/>
      <c r="E44" s="407">
        <v>64010.8</v>
      </c>
      <c r="F44" s="407">
        <v>896.4</v>
      </c>
      <c r="G44" s="407">
        <v>43978.9</v>
      </c>
      <c r="H44" s="407">
        <v>19135.5</v>
      </c>
      <c r="I44" s="407"/>
      <c r="J44" s="407"/>
      <c r="K44" s="404" t="e">
        <f>#REF!+J44</f>
        <v>#REF!</v>
      </c>
      <c r="L44" s="573"/>
      <c r="M44" s="573">
        <v>0</v>
      </c>
      <c r="N44" s="573"/>
      <c r="O44" s="573"/>
      <c r="P44" s="407"/>
      <c r="Q44" s="407"/>
      <c r="R44" s="408"/>
      <c r="S44" s="447" t="e">
        <f t="shared" si="3"/>
        <v>#REF!</v>
      </c>
      <c r="U44" s="447"/>
    </row>
    <row r="45" spans="2:23" ht="15">
      <c r="B45" s="419" t="s">
        <v>361</v>
      </c>
      <c r="C45" s="407">
        <v>1875.8</v>
      </c>
      <c r="D45" s="563"/>
      <c r="E45" s="407">
        <v>140.6</v>
      </c>
      <c r="F45" s="407"/>
      <c r="G45" s="407"/>
      <c r="H45" s="407">
        <v>102.4</v>
      </c>
      <c r="I45" s="407">
        <v>38.200000000000003</v>
      </c>
      <c r="J45" s="407"/>
      <c r="K45" s="404" t="e">
        <f>#REF!+J45</f>
        <v>#REF!</v>
      </c>
      <c r="L45" s="573"/>
      <c r="M45" s="573">
        <v>0</v>
      </c>
      <c r="N45" s="573"/>
      <c r="O45" s="573"/>
      <c r="P45" s="407"/>
      <c r="Q45" s="407">
        <v>1558.8</v>
      </c>
      <c r="R45" s="408">
        <v>174.3</v>
      </c>
      <c r="S45" s="447" t="e">
        <f t="shared" si="3"/>
        <v>#REF!</v>
      </c>
      <c r="U45" s="447"/>
    </row>
    <row r="46" spans="2:23">
      <c r="B46" s="420" t="s">
        <v>362</v>
      </c>
      <c r="C46" s="407">
        <v>3881.4</v>
      </c>
      <c r="D46" s="563"/>
      <c r="E46" s="407">
        <v>3881.4</v>
      </c>
      <c r="F46" s="407"/>
      <c r="G46" s="407"/>
      <c r="H46" s="407"/>
      <c r="I46" s="407"/>
      <c r="J46" s="407"/>
      <c r="K46" s="404" t="e">
        <f>#REF!+J46</f>
        <v>#REF!</v>
      </c>
      <c r="L46" s="573"/>
      <c r="M46" s="573">
        <v>0</v>
      </c>
      <c r="N46" s="573"/>
      <c r="O46" s="573"/>
      <c r="P46" s="407"/>
      <c r="Q46" s="407"/>
      <c r="R46" s="408"/>
      <c r="S46" s="447" t="e">
        <f t="shared" si="3"/>
        <v>#REF!</v>
      </c>
      <c r="U46" s="447"/>
    </row>
    <row r="47" spans="2:23">
      <c r="B47" s="420" t="s">
        <v>363</v>
      </c>
      <c r="C47" s="407">
        <v>1177.2</v>
      </c>
      <c r="D47" s="563"/>
      <c r="E47" s="407">
        <v>1177.2</v>
      </c>
      <c r="F47" s="407"/>
      <c r="G47" s="407"/>
      <c r="H47" s="407">
        <v>1160.2</v>
      </c>
      <c r="I47" s="407">
        <v>17</v>
      </c>
      <c r="J47" s="407"/>
      <c r="K47" s="404" t="e">
        <f>#REF!+J47</f>
        <v>#REF!</v>
      </c>
      <c r="L47" s="573"/>
      <c r="M47" s="573">
        <v>0</v>
      </c>
      <c r="N47" s="573"/>
      <c r="O47" s="573"/>
      <c r="P47" s="407"/>
      <c r="Q47" s="407"/>
      <c r="R47" s="408"/>
      <c r="S47" s="447" t="e">
        <f t="shared" si="3"/>
        <v>#REF!</v>
      </c>
      <c r="U47" s="447"/>
    </row>
    <row r="48" spans="2:23">
      <c r="B48" s="420" t="s">
        <v>364</v>
      </c>
      <c r="C48" s="407">
        <v>405.7</v>
      </c>
      <c r="D48" s="563"/>
      <c r="E48" s="407">
        <v>4.7</v>
      </c>
      <c r="F48" s="407">
        <v>4.7</v>
      </c>
      <c r="G48" s="407"/>
      <c r="H48" s="407"/>
      <c r="I48" s="407"/>
      <c r="J48" s="407"/>
      <c r="K48" s="404" t="e">
        <f>#REF!+J48</f>
        <v>#REF!</v>
      </c>
      <c r="L48" s="573"/>
      <c r="M48" s="573">
        <v>0</v>
      </c>
      <c r="N48" s="573"/>
      <c r="O48" s="573"/>
      <c r="P48" s="407"/>
      <c r="Q48" s="407">
        <v>401</v>
      </c>
      <c r="R48" s="408"/>
      <c r="S48" s="447" t="e">
        <f t="shared" si="3"/>
        <v>#REF!</v>
      </c>
      <c r="U48" s="447"/>
    </row>
    <row r="49" spans="2:21" ht="15">
      <c r="B49" s="422" t="s">
        <v>365</v>
      </c>
      <c r="C49" s="407" t="s">
        <v>324</v>
      </c>
      <c r="D49" s="563"/>
      <c r="E49" s="407" t="s">
        <v>324</v>
      </c>
      <c r="F49" s="407"/>
      <c r="G49" s="407"/>
      <c r="H49" s="407"/>
      <c r="I49" s="407"/>
      <c r="J49" s="407"/>
      <c r="K49" s="404" t="e">
        <f>#REF!+J49</f>
        <v>#REF!</v>
      </c>
      <c r="L49" s="573"/>
      <c r="M49" s="573">
        <v>0</v>
      </c>
      <c r="N49" s="573"/>
      <c r="O49" s="573"/>
      <c r="P49" s="407"/>
      <c r="Q49" s="407"/>
      <c r="R49" s="408"/>
      <c r="S49" s="447" t="e">
        <f t="shared" si="3"/>
        <v>#REF!</v>
      </c>
      <c r="U49" s="447"/>
    </row>
    <row r="50" spans="2:21" ht="15">
      <c r="B50" s="421" t="s">
        <v>366</v>
      </c>
      <c r="C50" s="413">
        <v>176172.2</v>
      </c>
      <c r="D50" s="564"/>
      <c r="E50" s="413">
        <v>17222.8</v>
      </c>
      <c r="F50" s="407">
        <v>2674.8</v>
      </c>
      <c r="G50" s="407">
        <v>527</v>
      </c>
      <c r="H50" s="407">
        <v>13807.7</v>
      </c>
      <c r="I50" s="407">
        <v>148.69999999999999</v>
      </c>
      <c r="J50" s="407"/>
      <c r="K50" s="404" t="e">
        <f>#REF!+J50</f>
        <v>#REF!</v>
      </c>
      <c r="L50" s="574"/>
      <c r="M50" s="574">
        <v>0</v>
      </c>
      <c r="N50" s="574"/>
      <c r="O50" s="574"/>
      <c r="P50" s="413">
        <v>2301.6</v>
      </c>
      <c r="Q50" s="413">
        <v>35754.1</v>
      </c>
      <c r="R50" s="414"/>
      <c r="S50" s="447" t="e">
        <f t="shared" si="3"/>
        <v>#REF!</v>
      </c>
      <c r="U50" s="447"/>
    </row>
    <row r="51" spans="2:21" ht="15">
      <c r="B51" s="419" t="s">
        <v>367</v>
      </c>
      <c r="C51" s="565">
        <v>53893.033000000003</v>
      </c>
      <c r="D51" s="566">
        <v>0</v>
      </c>
      <c r="E51" s="565">
        <v>0</v>
      </c>
      <c r="F51" s="565">
        <v>0</v>
      </c>
      <c r="G51" s="565">
        <v>0</v>
      </c>
      <c r="H51" s="565">
        <v>0</v>
      </c>
      <c r="I51" s="565">
        <v>0</v>
      </c>
      <c r="J51" s="565">
        <f>E51-SUM(F51:I51)</f>
        <v>0</v>
      </c>
      <c r="K51" s="404">
        <v>13816.061</v>
      </c>
      <c r="L51" s="554">
        <v>11864</v>
      </c>
      <c r="M51" s="554">
        <v>1571.3719999999998</v>
      </c>
      <c r="N51" s="554">
        <v>5457</v>
      </c>
      <c r="O51" s="554">
        <v>0</v>
      </c>
      <c r="P51" s="565">
        <v>0</v>
      </c>
      <c r="Q51" s="565">
        <v>21153.599999999999</v>
      </c>
      <c r="R51" s="566">
        <v>0</v>
      </c>
      <c r="S51" s="447">
        <f t="shared" si="3"/>
        <v>53862.032999999996</v>
      </c>
      <c r="U51" s="447"/>
    </row>
    <row r="52" spans="2:21">
      <c r="B52" s="420" t="s">
        <v>368</v>
      </c>
      <c r="C52" s="407">
        <v>18409.8</v>
      </c>
      <c r="D52" s="563"/>
      <c r="E52" s="407">
        <v>357.1</v>
      </c>
      <c r="F52" s="407">
        <v>118.6</v>
      </c>
      <c r="G52" s="407"/>
      <c r="H52" s="407">
        <v>136.5</v>
      </c>
      <c r="I52" s="407">
        <v>102</v>
      </c>
      <c r="J52" s="407"/>
      <c r="K52" s="404" t="e">
        <f>#REF!+J52</f>
        <v>#REF!</v>
      </c>
      <c r="L52" s="573"/>
      <c r="M52" s="573">
        <v>0</v>
      </c>
      <c r="N52" s="573"/>
      <c r="O52" s="573"/>
      <c r="P52" s="407">
        <v>930.4</v>
      </c>
      <c r="Q52" s="407">
        <v>12637.8</v>
      </c>
      <c r="R52" s="408"/>
      <c r="S52" s="447" t="e">
        <f t="shared" si="3"/>
        <v>#REF!</v>
      </c>
      <c r="U52" s="447"/>
    </row>
    <row r="53" spans="2:21">
      <c r="B53" s="420" t="s">
        <v>369</v>
      </c>
      <c r="C53" s="407">
        <v>140738.5</v>
      </c>
      <c r="D53" s="563"/>
      <c r="E53" s="407">
        <v>3192</v>
      </c>
      <c r="F53" s="407">
        <v>2546.6999999999998</v>
      </c>
      <c r="G53" s="407">
        <v>51.8</v>
      </c>
      <c r="H53" s="407">
        <v>528.9</v>
      </c>
      <c r="I53" s="407"/>
      <c r="J53" s="407"/>
      <c r="K53" s="404" t="e">
        <f>#REF!+J53</f>
        <v>#REF!</v>
      </c>
      <c r="L53" s="573"/>
      <c r="M53" s="573">
        <v>0</v>
      </c>
      <c r="N53" s="573"/>
      <c r="O53" s="573"/>
      <c r="P53" s="407">
        <v>1371.2</v>
      </c>
      <c r="Q53" s="407">
        <v>20719.099999999999</v>
      </c>
      <c r="R53" s="408"/>
      <c r="S53" s="447" t="e">
        <f t="shared" si="3"/>
        <v>#REF!</v>
      </c>
      <c r="U53" s="447"/>
    </row>
    <row r="54" spans="2:21">
      <c r="B54" s="420" t="s">
        <v>370</v>
      </c>
      <c r="C54" s="407" t="s">
        <v>324</v>
      </c>
      <c r="D54" s="563"/>
      <c r="E54" s="407" t="s">
        <v>324</v>
      </c>
      <c r="F54" s="407"/>
      <c r="G54" s="407"/>
      <c r="H54" s="407"/>
      <c r="I54" s="407"/>
      <c r="J54" s="407"/>
      <c r="K54" s="404" t="e">
        <f>#REF!+J54</f>
        <v>#REF!</v>
      </c>
      <c r="L54" s="573"/>
      <c r="M54" s="573">
        <v>0</v>
      </c>
      <c r="N54" s="573"/>
      <c r="O54" s="573"/>
      <c r="P54" s="407"/>
      <c r="Q54" s="407"/>
      <c r="R54" s="408"/>
      <c r="S54" s="447" t="e">
        <f t="shared" si="3"/>
        <v>#REF!</v>
      </c>
      <c r="U54" s="447"/>
    </row>
    <row r="55" spans="2:21" ht="16" thickBot="1">
      <c r="B55" s="423" t="s">
        <v>371</v>
      </c>
      <c r="C55" s="424">
        <v>22482.9</v>
      </c>
      <c r="D55" s="424"/>
      <c r="E55" s="424">
        <v>20831.8</v>
      </c>
      <c r="F55" s="425">
        <v>237.1</v>
      </c>
      <c r="G55" s="425"/>
      <c r="H55" s="425"/>
      <c r="I55" s="425">
        <v>509.8</v>
      </c>
      <c r="J55" s="425">
        <v>11170.1</v>
      </c>
      <c r="K55" s="404" t="e">
        <f>#REF!+J55</f>
        <v>#REF!</v>
      </c>
      <c r="L55" s="424"/>
      <c r="M55" s="424">
        <v>0</v>
      </c>
      <c r="N55" s="424"/>
      <c r="O55" s="424"/>
      <c r="P55" s="425"/>
      <c r="Q55" s="425"/>
      <c r="R55" s="426">
        <v>131.69999999999999</v>
      </c>
      <c r="S55" s="447" t="e">
        <f t="shared" si="3"/>
        <v>#REF!</v>
      </c>
      <c r="U55" s="447"/>
    </row>
  </sheetData>
  <mergeCells count="10">
    <mergeCell ref="S4:S5"/>
    <mergeCell ref="P4:P5"/>
    <mergeCell ref="Q4:Q5"/>
    <mergeCell ref="R4:R5"/>
    <mergeCell ref="B2:R2"/>
    <mergeCell ref="B3:R3"/>
    <mergeCell ref="B4:B5"/>
    <mergeCell ref="C4:C5"/>
    <mergeCell ref="E4:E5"/>
    <mergeCell ref="K4:K5"/>
  </mergeCells>
  <phoneticPr fontId="167"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55"/>
  <sheetViews>
    <sheetView showGridLines="0" workbookViewId="0">
      <pane xSplit="3" ySplit="5" topLeftCell="O31" activePane="bottomRight" state="frozen"/>
      <selection activeCell="N5" sqref="N5"/>
      <selection pane="topRight" activeCell="N5" sqref="N5"/>
      <selection pane="bottomLeft" activeCell="N5" sqref="N5"/>
      <selection pane="bottomRight" activeCell="R1" sqref="R1"/>
    </sheetView>
  </sheetViews>
  <sheetFormatPr baseColWidth="10" defaultColWidth="9.1640625" defaultRowHeight="14"/>
  <cols>
    <col min="1" max="1" width="5.6640625" style="427" customWidth="1"/>
    <col min="2" max="2" width="31.5" style="427" bestFit="1" customWidth="1"/>
    <col min="3" max="18" width="11.6640625" style="427" customWidth="1"/>
    <col min="19" max="19" width="13.5" style="400" customWidth="1"/>
    <col min="20" max="251" width="9.1640625" style="427"/>
    <col min="252" max="252" width="5.6640625" style="427" customWidth="1"/>
    <col min="253" max="253" width="31.5" style="427" bestFit="1" customWidth="1"/>
    <col min="254" max="254" width="11.6640625" style="427" customWidth="1"/>
    <col min="255" max="255" width="12" style="427" customWidth="1"/>
    <col min="256" max="271" width="11.6640625" style="427" customWidth="1"/>
    <col min="272" max="507" width="9.1640625" style="427"/>
    <col min="508" max="508" width="5.6640625" style="427" customWidth="1"/>
    <col min="509" max="509" width="31.5" style="427" bestFit="1" customWidth="1"/>
    <col min="510" max="510" width="11.6640625" style="427" customWidth="1"/>
    <col min="511" max="511" width="12" style="427" customWidth="1"/>
    <col min="512" max="527" width="11.6640625" style="427" customWidth="1"/>
    <col min="528" max="763" width="9.1640625" style="427"/>
    <col min="764" max="764" width="5.6640625" style="427" customWidth="1"/>
    <col min="765" max="765" width="31.5" style="427" bestFit="1" customWidth="1"/>
    <col min="766" max="766" width="11.6640625" style="427" customWidth="1"/>
    <col min="767" max="767" width="12" style="427" customWidth="1"/>
    <col min="768" max="783" width="11.6640625" style="427" customWidth="1"/>
    <col min="784" max="1019" width="9.1640625" style="427"/>
    <col min="1020" max="1020" width="5.6640625" style="427" customWidth="1"/>
    <col min="1021" max="1021" width="31.5" style="427" bestFit="1" customWidth="1"/>
    <col min="1022" max="1022" width="11.6640625" style="427" customWidth="1"/>
    <col min="1023" max="1023" width="12" style="427" customWidth="1"/>
    <col min="1024" max="1039" width="11.6640625" style="427" customWidth="1"/>
    <col min="1040" max="1275" width="9.1640625" style="427"/>
    <col min="1276" max="1276" width="5.6640625" style="427" customWidth="1"/>
    <col min="1277" max="1277" width="31.5" style="427" bestFit="1" customWidth="1"/>
    <col min="1278" max="1278" width="11.6640625" style="427" customWidth="1"/>
    <col min="1279" max="1279" width="12" style="427" customWidth="1"/>
    <col min="1280" max="1295" width="11.6640625" style="427" customWidth="1"/>
    <col min="1296" max="1531" width="9.1640625" style="427"/>
    <col min="1532" max="1532" width="5.6640625" style="427" customWidth="1"/>
    <col min="1533" max="1533" width="31.5" style="427" bestFit="1" customWidth="1"/>
    <col min="1534" max="1534" width="11.6640625" style="427" customWidth="1"/>
    <col min="1535" max="1535" width="12" style="427" customWidth="1"/>
    <col min="1536" max="1551" width="11.6640625" style="427" customWidth="1"/>
    <col min="1552" max="1787" width="9.1640625" style="427"/>
    <col min="1788" max="1788" width="5.6640625" style="427" customWidth="1"/>
    <col min="1789" max="1789" width="31.5" style="427" bestFit="1" customWidth="1"/>
    <col min="1790" max="1790" width="11.6640625" style="427" customWidth="1"/>
    <col min="1791" max="1791" width="12" style="427" customWidth="1"/>
    <col min="1792" max="1807" width="11.6640625" style="427" customWidth="1"/>
    <col min="1808" max="2043" width="9.1640625" style="427"/>
    <col min="2044" max="2044" width="5.6640625" style="427" customWidth="1"/>
    <col min="2045" max="2045" width="31.5" style="427" bestFit="1" customWidth="1"/>
    <col min="2046" max="2046" width="11.6640625" style="427" customWidth="1"/>
    <col min="2047" max="2047" width="12" style="427" customWidth="1"/>
    <col min="2048" max="2063" width="11.6640625" style="427" customWidth="1"/>
    <col min="2064" max="2299" width="9.1640625" style="427"/>
    <col min="2300" max="2300" width="5.6640625" style="427" customWidth="1"/>
    <col min="2301" max="2301" width="31.5" style="427" bestFit="1" customWidth="1"/>
    <col min="2302" max="2302" width="11.6640625" style="427" customWidth="1"/>
    <col min="2303" max="2303" width="12" style="427" customWidth="1"/>
    <col min="2304" max="2319" width="11.6640625" style="427" customWidth="1"/>
    <col min="2320" max="2555" width="9.1640625" style="427"/>
    <col min="2556" max="2556" width="5.6640625" style="427" customWidth="1"/>
    <col min="2557" max="2557" width="31.5" style="427" bestFit="1" customWidth="1"/>
    <col min="2558" max="2558" width="11.6640625" style="427" customWidth="1"/>
    <col min="2559" max="2559" width="12" style="427" customWidth="1"/>
    <col min="2560" max="2575" width="11.6640625" style="427" customWidth="1"/>
    <col min="2576" max="2811" width="9.1640625" style="427"/>
    <col min="2812" max="2812" width="5.6640625" style="427" customWidth="1"/>
    <col min="2813" max="2813" width="31.5" style="427" bestFit="1" customWidth="1"/>
    <col min="2814" max="2814" width="11.6640625" style="427" customWidth="1"/>
    <col min="2815" max="2815" width="12" style="427" customWidth="1"/>
    <col min="2816" max="2831" width="11.6640625" style="427" customWidth="1"/>
    <col min="2832" max="3067" width="9.1640625" style="427"/>
    <col min="3068" max="3068" width="5.6640625" style="427" customWidth="1"/>
    <col min="3069" max="3069" width="31.5" style="427" bestFit="1" customWidth="1"/>
    <col min="3070" max="3070" width="11.6640625" style="427" customWidth="1"/>
    <col min="3071" max="3071" width="12" style="427" customWidth="1"/>
    <col min="3072" max="3087" width="11.6640625" style="427" customWidth="1"/>
    <col min="3088" max="3323" width="9.1640625" style="427"/>
    <col min="3324" max="3324" width="5.6640625" style="427" customWidth="1"/>
    <col min="3325" max="3325" width="31.5" style="427" bestFit="1" customWidth="1"/>
    <col min="3326" max="3326" width="11.6640625" style="427" customWidth="1"/>
    <col min="3327" max="3327" width="12" style="427" customWidth="1"/>
    <col min="3328" max="3343" width="11.6640625" style="427" customWidth="1"/>
    <col min="3344" max="3579" width="9.1640625" style="427"/>
    <col min="3580" max="3580" width="5.6640625" style="427" customWidth="1"/>
    <col min="3581" max="3581" width="31.5" style="427" bestFit="1" customWidth="1"/>
    <col min="3582" max="3582" width="11.6640625" style="427" customWidth="1"/>
    <col min="3583" max="3583" width="12" style="427" customWidth="1"/>
    <col min="3584" max="3599" width="11.6640625" style="427" customWidth="1"/>
    <col min="3600" max="3835" width="9.1640625" style="427"/>
    <col min="3836" max="3836" width="5.6640625" style="427" customWidth="1"/>
    <col min="3837" max="3837" width="31.5" style="427" bestFit="1" customWidth="1"/>
    <col min="3838" max="3838" width="11.6640625" style="427" customWidth="1"/>
    <col min="3839" max="3839" width="12" style="427" customWidth="1"/>
    <col min="3840" max="3855" width="11.6640625" style="427" customWidth="1"/>
    <col min="3856" max="4091" width="9.1640625" style="427"/>
    <col min="4092" max="4092" width="5.6640625" style="427" customWidth="1"/>
    <col min="4093" max="4093" width="31.5" style="427" bestFit="1" customWidth="1"/>
    <col min="4094" max="4094" width="11.6640625" style="427" customWidth="1"/>
    <col min="4095" max="4095" width="12" style="427" customWidth="1"/>
    <col min="4096" max="4111" width="11.6640625" style="427" customWidth="1"/>
    <col min="4112" max="4347" width="9.1640625" style="427"/>
    <col min="4348" max="4348" width="5.6640625" style="427" customWidth="1"/>
    <col min="4349" max="4349" width="31.5" style="427" bestFit="1" customWidth="1"/>
    <col min="4350" max="4350" width="11.6640625" style="427" customWidth="1"/>
    <col min="4351" max="4351" width="12" style="427" customWidth="1"/>
    <col min="4352" max="4367" width="11.6640625" style="427" customWidth="1"/>
    <col min="4368" max="4603" width="9.1640625" style="427"/>
    <col min="4604" max="4604" width="5.6640625" style="427" customWidth="1"/>
    <col min="4605" max="4605" width="31.5" style="427" bestFit="1" customWidth="1"/>
    <col min="4606" max="4606" width="11.6640625" style="427" customWidth="1"/>
    <col min="4607" max="4607" width="12" style="427" customWidth="1"/>
    <col min="4608" max="4623" width="11.6640625" style="427" customWidth="1"/>
    <col min="4624" max="4859" width="9.1640625" style="427"/>
    <col min="4860" max="4860" width="5.6640625" style="427" customWidth="1"/>
    <col min="4861" max="4861" width="31.5" style="427" bestFit="1" customWidth="1"/>
    <col min="4862" max="4862" width="11.6640625" style="427" customWidth="1"/>
    <col min="4863" max="4863" width="12" style="427" customWidth="1"/>
    <col min="4864" max="4879" width="11.6640625" style="427" customWidth="1"/>
    <col min="4880" max="5115" width="9.1640625" style="427"/>
    <col min="5116" max="5116" width="5.6640625" style="427" customWidth="1"/>
    <col min="5117" max="5117" width="31.5" style="427" bestFit="1" customWidth="1"/>
    <col min="5118" max="5118" width="11.6640625" style="427" customWidth="1"/>
    <col min="5119" max="5119" width="12" style="427" customWidth="1"/>
    <col min="5120" max="5135" width="11.6640625" style="427" customWidth="1"/>
    <col min="5136" max="5371" width="9.1640625" style="427"/>
    <col min="5372" max="5372" width="5.6640625" style="427" customWidth="1"/>
    <col min="5373" max="5373" width="31.5" style="427" bestFit="1" customWidth="1"/>
    <col min="5374" max="5374" width="11.6640625" style="427" customWidth="1"/>
    <col min="5375" max="5375" width="12" style="427" customWidth="1"/>
    <col min="5376" max="5391" width="11.6640625" style="427" customWidth="1"/>
    <col min="5392" max="5627" width="9.1640625" style="427"/>
    <col min="5628" max="5628" width="5.6640625" style="427" customWidth="1"/>
    <col min="5629" max="5629" width="31.5" style="427" bestFit="1" customWidth="1"/>
    <col min="5630" max="5630" width="11.6640625" style="427" customWidth="1"/>
    <col min="5631" max="5631" width="12" style="427" customWidth="1"/>
    <col min="5632" max="5647" width="11.6640625" style="427" customWidth="1"/>
    <col min="5648" max="5883" width="9.1640625" style="427"/>
    <col min="5884" max="5884" width="5.6640625" style="427" customWidth="1"/>
    <col min="5885" max="5885" width="31.5" style="427" bestFit="1" customWidth="1"/>
    <col min="5886" max="5886" width="11.6640625" style="427" customWidth="1"/>
    <col min="5887" max="5887" width="12" style="427" customWidth="1"/>
    <col min="5888" max="5903" width="11.6640625" style="427" customWidth="1"/>
    <col min="5904" max="6139" width="9.1640625" style="427"/>
    <col min="6140" max="6140" width="5.6640625" style="427" customWidth="1"/>
    <col min="6141" max="6141" width="31.5" style="427" bestFit="1" customWidth="1"/>
    <col min="6142" max="6142" width="11.6640625" style="427" customWidth="1"/>
    <col min="6143" max="6143" width="12" style="427" customWidth="1"/>
    <col min="6144" max="6159" width="11.6640625" style="427" customWidth="1"/>
    <col min="6160" max="6395" width="9.1640625" style="427"/>
    <col min="6396" max="6396" width="5.6640625" style="427" customWidth="1"/>
    <col min="6397" max="6397" width="31.5" style="427" bestFit="1" customWidth="1"/>
    <col min="6398" max="6398" width="11.6640625" style="427" customWidth="1"/>
    <col min="6399" max="6399" width="12" style="427" customWidth="1"/>
    <col min="6400" max="6415" width="11.6640625" style="427" customWidth="1"/>
    <col min="6416" max="6651" width="9.1640625" style="427"/>
    <col min="6652" max="6652" width="5.6640625" style="427" customWidth="1"/>
    <col min="6653" max="6653" width="31.5" style="427" bestFit="1" customWidth="1"/>
    <col min="6654" max="6654" width="11.6640625" style="427" customWidth="1"/>
    <col min="6655" max="6655" width="12" style="427" customWidth="1"/>
    <col min="6656" max="6671" width="11.6640625" style="427" customWidth="1"/>
    <col min="6672" max="6907" width="9.1640625" style="427"/>
    <col min="6908" max="6908" width="5.6640625" style="427" customWidth="1"/>
    <col min="6909" max="6909" width="31.5" style="427" bestFit="1" customWidth="1"/>
    <col min="6910" max="6910" width="11.6640625" style="427" customWidth="1"/>
    <col min="6911" max="6911" width="12" style="427" customWidth="1"/>
    <col min="6912" max="6927" width="11.6640625" style="427" customWidth="1"/>
    <col min="6928" max="7163" width="9.1640625" style="427"/>
    <col min="7164" max="7164" width="5.6640625" style="427" customWidth="1"/>
    <col min="7165" max="7165" width="31.5" style="427" bestFit="1" customWidth="1"/>
    <col min="7166" max="7166" width="11.6640625" style="427" customWidth="1"/>
    <col min="7167" max="7167" width="12" style="427" customWidth="1"/>
    <col min="7168" max="7183" width="11.6640625" style="427" customWidth="1"/>
    <col min="7184" max="7419" width="9.1640625" style="427"/>
    <col min="7420" max="7420" width="5.6640625" style="427" customWidth="1"/>
    <col min="7421" max="7421" width="31.5" style="427" bestFit="1" customWidth="1"/>
    <col min="7422" max="7422" width="11.6640625" style="427" customWidth="1"/>
    <col min="7423" max="7423" width="12" style="427" customWidth="1"/>
    <col min="7424" max="7439" width="11.6640625" style="427" customWidth="1"/>
    <col min="7440" max="7675" width="9.1640625" style="427"/>
    <col min="7676" max="7676" width="5.6640625" style="427" customWidth="1"/>
    <col min="7677" max="7677" width="31.5" style="427" bestFit="1" customWidth="1"/>
    <col min="7678" max="7678" width="11.6640625" style="427" customWidth="1"/>
    <col min="7679" max="7679" width="12" style="427" customWidth="1"/>
    <col min="7680" max="7695" width="11.6640625" style="427" customWidth="1"/>
    <col min="7696" max="7931" width="9.1640625" style="427"/>
    <col min="7932" max="7932" width="5.6640625" style="427" customWidth="1"/>
    <col min="7933" max="7933" width="31.5" style="427" bestFit="1" customWidth="1"/>
    <col min="7934" max="7934" width="11.6640625" style="427" customWidth="1"/>
    <col min="7935" max="7935" width="12" style="427" customWidth="1"/>
    <col min="7936" max="7951" width="11.6640625" style="427" customWidth="1"/>
    <col min="7952" max="8187" width="9.1640625" style="427"/>
    <col min="8188" max="8188" width="5.6640625" style="427" customWidth="1"/>
    <col min="8189" max="8189" width="31.5" style="427" bestFit="1" customWidth="1"/>
    <col min="8190" max="8190" width="11.6640625" style="427" customWidth="1"/>
    <col min="8191" max="8191" width="12" style="427" customWidth="1"/>
    <col min="8192" max="8207" width="11.6640625" style="427" customWidth="1"/>
    <col min="8208" max="8443" width="9.1640625" style="427"/>
    <col min="8444" max="8444" width="5.6640625" style="427" customWidth="1"/>
    <col min="8445" max="8445" width="31.5" style="427" bestFit="1" customWidth="1"/>
    <col min="8446" max="8446" width="11.6640625" style="427" customWidth="1"/>
    <col min="8447" max="8447" width="12" style="427" customWidth="1"/>
    <col min="8448" max="8463" width="11.6640625" style="427" customWidth="1"/>
    <col min="8464" max="8699" width="9.1640625" style="427"/>
    <col min="8700" max="8700" width="5.6640625" style="427" customWidth="1"/>
    <col min="8701" max="8701" width="31.5" style="427" bestFit="1" customWidth="1"/>
    <col min="8702" max="8702" width="11.6640625" style="427" customWidth="1"/>
    <col min="8703" max="8703" width="12" style="427" customWidth="1"/>
    <col min="8704" max="8719" width="11.6640625" style="427" customWidth="1"/>
    <col min="8720" max="8955" width="9.1640625" style="427"/>
    <col min="8956" max="8956" width="5.6640625" style="427" customWidth="1"/>
    <col min="8957" max="8957" width="31.5" style="427" bestFit="1" customWidth="1"/>
    <col min="8958" max="8958" width="11.6640625" style="427" customWidth="1"/>
    <col min="8959" max="8959" width="12" style="427" customWidth="1"/>
    <col min="8960" max="8975" width="11.6640625" style="427" customWidth="1"/>
    <col min="8976" max="9211" width="9.1640625" style="427"/>
    <col min="9212" max="9212" width="5.6640625" style="427" customWidth="1"/>
    <col min="9213" max="9213" width="31.5" style="427" bestFit="1" customWidth="1"/>
    <col min="9214" max="9214" width="11.6640625" style="427" customWidth="1"/>
    <col min="9215" max="9215" width="12" style="427" customWidth="1"/>
    <col min="9216" max="9231" width="11.6640625" style="427" customWidth="1"/>
    <col min="9232" max="9467" width="9.1640625" style="427"/>
    <col min="9468" max="9468" width="5.6640625" style="427" customWidth="1"/>
    <col min="9469" max="9469" width="31.5" style="427" bestFit="1" customWidth="1"/>
    <col min="9470" max="9470" width="11.6640625" style="427" customWidth="1"/>
    <col min="9471" max="9471" width="12" style="427" customWidth="1"/>
    <col min="9472" max="9487" width="11.6640625" style="427" customWidth="1"/>
    <col min="9488" max="9723" width="9.1640625" style="427"/>
    <col min="9724" max="9724" width="5.6640625" style="427" customWidth="1"/>
    <col min="9725" max="9725" width="31.5" style="427" bestFit="1" customWidth="1"/>
    <col min="9726" max="9726" width="11.6640625" style="427" customWidth="1"/>
    <col min="9727" max="9727" width="12" style="427" customWidth="1"/>
    <col min="9728" max="9743" width="11.6640625" style="427" customWidth="1"/>
    <col min="9744" max="9979" width="9.1640625" style="427"/>
    <col min="9980" max="9980" width="5.6640625" style="427" customWidth="1"/>
    <col min="9981" max="9981" width="31.5" style="427" bestFit="1" customWidth="1"/>
    <col min="9982" max="9982" width="11.6640625" style="427" customWidth="1"/>
    <col min="9983" max="9983" width="12" style="427" customWidth="1"/>
    <col min="9984" max="9999" width="11.6640625" style="427" customWidth="1"/>
    <col min="10000" max="10235" width="9.1640625" style="427"/>
    <col min="10236" max="10236" width="5.6640625" style="427" customWidth="1"/>
    <col min="10237" max="10237" width="31.5" style="427" bestFit="1" customWidth="1"/>
    <col min="10238" max="10238" width="11.6640625" style="427" customWidth="1"/>
    <col min="10239" max="10239" width="12" style="427" customWidth="1"/>
    <col min="10240" max="10255" width="11.6640625" style="427" customWidth="1"/>
    <col min="10256" max="10491" width="9.1640625" style="427"/>
    <col min="10492" max="10492" width="5.6640625" style="427" customWidth="1"/>
    <col min="10493" max="10493" width="31.5" style="427" bestFit="1" customWidth="1"/>
    <col min="10494" max="10494" width="11.6640625" style="427" customWidth="1"/>
    <col min="10495" max="10495" width="12" style="427" customWidth="1"/>
    <col min="10496" max="10511" width="11.6640625" style="427" customWidth="1"/>
    <col min="10512" max="10747" width="9.1640625" style="427"/>
    <col min="10748" max="10748" width="5.6640625" style="427" customWidth="1"/>
    <col min="10749" max="10749" width="31.5" style="427" bestFit="1" customWidth="1"/>
    <col min="10750" max="10750" width="11.6640625" style="427" customWidth="1"/>
    <col min="10751" max="10751" width="12" style="427" customWidth="1"/>
    <col min="10752" max="10767" width="11.6640625" style="427" customWidth="1"/>
    <col min="10768" max="11003" width="9.1640625" style="427"/>
    <col min="11004" max="11004" width="5.6640625" style="427" customWidth="1"/>
    <col min="11005" max="11005" width="31.5" style="427" bestFit="1" customWidth="1"/>
    <col min="11006" max="11006" width="11.6640625" style="427" customWidth="1"/>
    <col min="11007" max="11007" width="12" style="427" customWidth="1"/>
    <col min="11008" max="11023" width="11.6640625" style="427" customWidth="1"/>
    <col min="11024" max="11259" width="9.1640625" style="427"/>
    <col min="11260" max="11260" width="5.6640625" style="427" customWidth="1"/>
    <col min="11261" max="11261" width="31.5" style="427" bestFit="1" customWidth="1"/>
    <col min="11262" max="11262" width="11.6640625" style="427" customWidth="1"/>
    <col min="11263" max="11263" width="12" style="427" customWidth="1"/>
    <col min="11264" max="11279" width="11.6640625" style="427" customWidth="1"/>
    <col min="11280" max="11515" width="9.1640625" style="427"/>
    <col min="11516" max="11516" width="5.6640625" style="427" customWidth="1"/>
    <col min="11517" max="11517" width="31.5" style="427" bestFit="1" customWidth="1"/>
    <col min="11518" max="11518" width="11.6640625" style="427" customWidth="1"/>
    <col min="11519" max="11519" width="12" style="427" customWidth="1"/>
    <col min="11520" max="11535" width="11.6640625" style="427" customWidth="1"/>
    <col min="11536" max="11771" width="9.1640625" style="427"/>
    <col min="11772" max="11772" width="5.6640625" style="427" customWidth="1"/>
    <col min="11773" max="11773" width="31.5" style="427" bestFit="1" customWidth="1"/>
    <col min="11774" max="11774" width="11.6640625" style="427" customWidth="1"/>
    <col min="11775" max="11775" width="12" style="427" customWidth="1"/>
    <col min="11776" max="11791" width="11.6640625" style="427" customWidth="1"/>
    <col min="11792" max="12027" width="9.1640625" style="427"/>
    <col min="12028" max="12028" width="5.6640625" style="427" customWidth="1"/>
    <col min="12029" max="12029" width="31.5" style="427" bestFit="1" customWidth="1"/>
    <col min="12030" max="12030" width="11.6640625" style="427" customWidth="1"/>
    <col min="12031" max="12031" width="12" style="427" customWidth="1"/>
    <col min="12032" max="12047" width="11.6640625" style="427" customWidth="1"/>
    <col min="12048" max="12283" width="9.1640625" style="427"/>
    <col min="12284" max="12284" width="5.6640625" style="427" customWidth="1"/>
    <col min="12285" max="12285" width="31.5" style="427" bestFit="1" customWidth="1"/>
    <col min="12286" max="12286" width="11.6640625" style="427" customWidth="1"/>
    <col min="12287" max="12287" width="12" style="427" customWidth="1"/>
    <col min="12288" max="12303" width="11.6640625" style="427" customWidth="1"/>
    <col min="12304" max="12539" width="9.1640625" style="427"/>
    <col min="12540" max="12540" width="5.6640625" style="427" customWidth="1"/>
    <col min="12541" max="12541" width="31.5" style="427" bestFit="1" customWidth="1"/>
    <col min="12542" max="12542" width="11.6640625" style="427" customWidth="1"/>
    <col min="12543" max="12543" width="12" style="427" customWidth="1"/>
    <col min="12544" max="12559" width="11.6640625" style="427" customWidth="1"/>
    <col min="12560" max="12795" width="9.1640625" style="427"/>
    <col min="12796" max="12796" width="5.6640625" style="427" customWidth="1"/>
    <col min="12797" max="12797" width="31.5" style="427" bestFit="1" customWidth="1"/>
    <col min="12798" max="12798" width="11.6640625" style="427" customWidth="1"/>
    <col min="12799" max="12799" width="12" style="427" customWidth="1"/>
    <col min="12800" max="12815" width="11.6640625" style="427" customWidth="1"/>
    <col min="12816" max="13051" width="9.1640625" style="427"/>
    <col min="13052" max="13052" width="5.6640625" style="427" customWidth="1"/>
    <col min="13053" max="13053" width="31.5" style="427" bestFit="1" customWidth="1"/>
    <col min="13054" max="13054" width="11.6640625" style="427" customWidth="1"/>
    <col min="13055" max="13055" width="12" style="427" customWidth="1"/>
    <col min="13056" max="13071" width="11.6640625" style="427" customWidth="1"/>
    <col min="13072" max="13307" width="9.1640625" style="427"/>
    <col min="13308" max="13308" width="5.6640625" style="427" customWidth="1"/>
    <col min="13309" max="13309" width="31.5" style="427" bestFit="1" customWidth="1"/>
    <col min="13310" max="13310" width="11.6640625" style="427" customWidth="1"/>
    <col min="13311" max="13311" width="12" style="427" customWidth="1"/>
    <col min="13312" max="13327" width="11.6640625" style="427" customWidth="1"/>
    <col min="13328" max="13563" width="9.1640625" style="427"/>
    <col min="13564" max="13564" width="5.6640625" style="427" customWidth="1"/>
    <col min="13565" max="13565" width="31.5" style="427" bestFit="1" customWidth="1"/>
    <col min="13566" max="13566" width="11.6640625" style="427" customWidth="1"/>
    <col min="13567" max="13567" width="12" style="427" customWidth="1"/>
    <col min="13568" max="13583" width="11.6640625" style="427" customWidth="1"/>
    <col min="13584" max="13819" width="9.1640625" style="427"/>
    <col min="13820" max="13820" width="5.6640625" style="427" customWidth="1"/>
    <col min="13821" max="13821" width="31.5" style="427" bestFit="1" customWidth="1"/>
    <col min="13822" max="13822" width="11.6640625" style="427" customWidth="1"/>
    <col min="13823" max="13823" width="12" style="427" customWidth="1"/>
    <col min="13824" max="13839" width="11.6640625" style="427" customWidth="1"/>
    <col min="13840" max="14075" width="9.1640625" style="427"/>
    <col min="14076" max="14076" width="5.6640625" style="427" customWidth="1"/>
    <col min="14077" max="14077" width="31.5" style="427" bestFit="1" customWidth="1"/>
    <col min="14078" max="14078" width="11.6640625" style="427" customWidth="1"/>
    <col min="14079" max="14079" width="12" style="427" customWidth="1"/>
    <col min="14080" max="14095" width="11.6640625" style="427" customWidth="1"/>
    <col min="14096" max="14331" width="9.1640625" style="427"/>
    <col min="14332" max="14332" width="5.6640625" style="427" customWidth="1"/>
    <col min="14333" max="14333" width="31.5" style="427" bestFit="1" customWidth="1"/>
    <col min="14334" max="14334" width="11.6640625" style="427" customWidth="1"/>
    <col min="14335" max="14335" width="12" style="427" customWidth="1"/>
    <col min="14336" max="14351" width="11.6640625" style="427" customWidth="1"/>
    <col min="14352" max="14587" width="9.1640625" style="427"/>
    <col min="14588" max="14588" width="5.6640625" style="427" customWidth="1"/>
    <col min="14589" max="14589" width="31.5" style="427" bestFit="1" customWidth="1"/>
    <col min="14590" max="14590" width="11.6640625" style="427" customWidth="1"/>
    <col min="14591" max="14591" width="12" style="427" customWidth="1"/>
    <col min="14592" max="14607" width="11.6640625" style="427" customWidth="1"/>
    <col min="14608" max="14843" width="9.1640625" style="427"/>
    <col min="14844" max="14844" width="5.6640625" style="427" customWidth="1"/>
    <col min="14845" max="14845" width="31.5" style="427" bestFit="1" customWidth="1"/>
    <col min="14846" max="14846" width="11.6640625" style="427" customWidth="1"/>
    <col min="14847" max="14847" width="12" style="427" customWidth="1"/>
    <col min="14848" max="14863" width="11.6640625" style="427" customWidth="1"/>
    <col min="14864" max="15099" width="9.1640625" style="427"/>
    <col min="15100" max="15100" width="5.6640625" style="427" customWidth="1"/>
    <col min="15101" max="15101" width="31.5" style="427" bestFit="1" customWidth="1"/>
    <col min="15102" max="15102" width="11.6640625" style="427" customWidth="1"/>
    <col min="15103" max="15103" width="12" style="427" customWidth="1"/>
    <col min="15104" max="15119" width="11.6640625" style="427" customWidth="1"/>
    <col min="15120" max="15355" width="9.1640625" style="427"/>
    <col min="15356" max="15356" width="5.6640625" style="427" customWidth="1"/>
    <col min="15357" max="15357" width="31.5" style="427" bestFit="1" customWidth="1"/>
    <col min="15358" max="15358" width="11.6640625" style="427" customWidth="1"/>
    <col min="15359" max="15359" width="12" style="427" customWidth="1"/>
    <col min="15360" max="15375" width="11.6640625" style="427" customWidth="1"/>
    <col min="15376" max="15611" width="9.1640625" style="427"/>
    <col min="15612" max="15612" width="5.6640625" style="427" customWidth="1"/>
    <col min="15613" max="15613" width="31.5" style="427" bestFit="1" customWidth="1"/>
    <col min="15614" max="15614" width="11.6640625" style="427" customWidth="1"/>
    <col min="15615" max="15615" width="12" style="427" customWidth="1"/>
    <col min="15616" max="15631" width="11.6640625" style="427" customWidth="1"/>
    <col min="15632" max="15867" width="9.1640625" style="427"/>
    <col min="15868" max="15868" width="5.6640625" style="427" customWidth="1"/>
    <col min="15869" max="15869" width="31.5" style="427" bestFit="1" customWidth="1"/>
    <col min="15870" max="15870" width="11.6640625" style="427" customWidth="1"/>
    <col min="15871" max="15871" width="12" style="427" customWidth="1"/>
    <col min="15872" max="15887" width="11.6640625" style="427" customWidth="1"/>
    <col min="15888" max="16123" width="9.1640625" style="427"/>
    <col min="16124" max="16124" width="5.6640625" style="427" customWidth="1"/>
    <col min="16125" max="16125" width="31.5" style="427" bestFit="1" customWidth="1"/>
    <col min="16126" max="16126" width="11.6640625" style="427" customWidth="1"/>
    <col min="16127" max="16127" width="12" style="427" customWidth="1"/>
    <col min="16128" max="16143" width="11.6640625" style="427" customWidth="1"/>
    <col min="16144" max="16384" width="9.1640625" style="427"/>
  </cols>
  <sheetData>
    <row r="1" spans="2:23" s="400" customFormat="1" ht="46" thickBot="1">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2:23">
      <c r="B2" s="624" t="s">
        <v>372</v>
      </c>
      <c r="C2" s="624"/>
      <c r="D2" s="624"/>
      <c r="E2" s="624"/>
      <c r="F2" s="624"/>
      <c r="G2" s="624"/>
      <c r="H2" s="624"/>
      <c r="I2" s="624"/>
      <c r="J2" s="624"/>
      <c r="K2" s="624"/>
      <c r="L2" s="624"/>
      <c r="M2" s="624"/>
      <c r="N2" s="624"/>
      <c r="O2" s="624"/>
      <c r="P2" s="624"/>
      <c r="Q2" s="624"/>
      <c r="R2" s="624"/>
    </row>
    <row r="3" spans="2:23" ht="15" thickBot="1">
      <c r="B3" s="625" t="s">
        <v>311</v>
      </c>
      <c r="C3" s="625"/>
      <c r="D3" s="625"/>
      <c r="E3" s="625"/>
      <c r="F3" s="625"/>
      <c r="G3" s="625"/>
      <c r="H3" s="625"/>
      <c r="I3" s="625"/>
      <c r="J3" s="625"/>
      <c r="K3" s="625"/>
      <c r="L3" s="625"/>
      <c r="M3" s="625"/>
      <c r="N3" s="625"/>
      <c r="O3" s="625"/>
      <c r="P3" s="625"/>
      <c r="Q3" s="625"/>
      <c r="R3" s="625"/>
    </row>
    <row r="4" spans="2:23" s="428" customFormat="1" ht="18.75" customHeight="1">
      <c r="B4" s="632"/>
      <c r="C4" s="630" t="s">
        <v>312</v>
      </c>
      <c r="D4" s="551"/>
      <c r="E4" s="630" t="s">
        <v>313</v>
      </c>
      <c r="F4" s="603"/>
      <c r="G4" s="603"/>
      <c r="H4" s="603"/>
      <c r="I4" s="603"/>
      <c r="J4" s="604"/>
      <c r="K4" s="630" t="s">
        <v>314</v>
      </c>
      <c r="L4" s="572"/>
      <c r="M4" s="572"/>
      <c r="N4" s="572"/>
      <c r="O4" s="572"/>
      <c r="P4" s="630" t="s">
        <v>316</v>
      </c>
      <c r="Q4" s="630" t="s">
        <v>317</v>
      </c>
      <c r="R4" s="628" t="s">
        <v>431</v>
      </c>
      <c r="S4" s="628" t="s">
        <v>57</v>
      </c>
    </row>
    <row r="5" spans="2:23" s="431" customFormat="1" ht="50.25" customHeight="1" thickBot="1">
      <c r="B5" s="633"/>
      <c r="C5" s="631"/>
      <c r="D5" s="552" t="s">
        <v>429</v>
      </c>
      <c r="E5" s="631"/>
      <c r="F5" s="429" t="s">
        <v>318</v>
      </c>
      <c r="G5" s="429" t="s">
        <v>319</v>
      </c>
      <c r="H5" s="429" t="s">
        <v>373</v>
      </c>
      <c r="I5" s="430" t="s">
        <v>374</v>
      </c>
      <c r="J5" s="429" t="s">
        <v>322</v>
      </c>
      <c r="K5" s="631"/>
      <c r="L5" s="577" t="s">
        <v>77</v>
      </c>
      <c r="M5" s="577" t="s">
        <v>433</v>
      </c>
      <c r="N5" s="577" t="s">
        <v>78</v>
      </c>
      <c r="O5" s="577" t="s">
        <v>80</v>
      </c>
      <c r="P5" s="631"/>
      <c r="Q5" s="631"/>
      <c r="R5" s="629"/>
      <c r="S5" s="629"/>
      <c r="W5" s="431" t="s">
        <v>438</v>
      </c>
    </row>
    <row r="6" spans="2:23" ht="15">
      <c r="B6" s="403" t="s">
        <v>323</v>
      </c>
      <c r="C6" s="432">
        <v>2557914.5</v>
      </c>
      <c r="D6" s="432"/>
      <c r="E6" s="432" t="s">
        <v>324</v>
      </c>
      <c r="F6" s="432" t="s">
        <v>324</v>
      </c>
      <c r="G6" s="432" t="s">
        <v>324</v>
      </c>
      <c r="H6" s="432" t="s">
        <v>324</v>
      </c>
      <c r="I6" s="432" t="s">
        <v>324</v>
      </c>
      <c r="J6" s="432" t="s">
        <v>324</v>
      </c>
      <c r="K6" s="432" t="e">
        <f>#REF!+J6</f>
        <v>#REF!</v>
      </c>
      <c r="L6" s="432"/>
      <c r="M6" s="432">
        <v>0</v>
      </c>
      <c r="N6" s="432"/>
      <c r="O6" s="432"/>
      <c r="P6" s="432" t="s">
        <v>324</v>
      </c>
      <c r="Q6" s="432" t="s">
        <v>324</v>
      </c>
      <c r="R6" s="433" t="s">
        <v>324</v>
      </c>
      <c r="S6" s="447" t="e">
        <f t="shared" ref="S6:S37" si="0">SUM(F6:R6)+D6</f>
        <v>#REF!</v>
      </c>
      <c r="U6" s="442"/>
    </row>
    <row r="7" spans="2:23">
      <c r="B7" s="406" t="s">
        <v>325</v>
      </c>
      <c r="C7" s="434">
        <v>12895.3</v>
      </c>
      <c r="D7" s="555"/>
      <c r="E7" s="434">
        <v>11847.4</v>
      </c>
      <c r="F7" s="434" t="s">
        <v>324</v>
      </c>
      <c r="G7" s="434">
        <v>1978.4</v>
      </c>
      <c r="H7" s="434">
        <v>528.9</v>
      </c>
      <c r="I7" s="434">
        <v>5734.8</v>
      </c>
      <c r="J7" s="434">
        <v>2981</v>
      </c>
      <c r="K7" s="432" t="e">
        <f>#REF!+J7</f>
        <v>#REF!</v>
      </c>
      <c r="L7" s="575"/>
      <c r="M7" s="575">
        <v>0</v>
      </c>
      <c r="N7" s="575"/>
      <c r="O7" s="575"/>
      <c r="P7" s="434" t="s">
        <v>324</v>
      </c>
      <c r="Q7" s="434">
        <v>387</v>
      </c>
      <c r="R7" s="435">
        <v>660.9</v>
      </c>
      <c r="S7" s="447" t="e">
        <f t="shared" si="0"/>
        <v>#REF!</v>
      </c>
      <c r="U7" s="442"/>
    </row>
    <row r="8" spans="2:23">
      <c r="B8" s="406" t="s">
        <v>326</v>
      </c>
      <c r="C8" s="434">
        <v>-1928627.4</v>
      </c>
      <c r="D8" s="555"/>
      <c r="E8" s="434">
        <v>-96495.9</v>
      </c>
      <c r="F8" s="434">
        <v>-735.1</v>
      </c>
      <c r="G8" s="434">
        <v>-203</v>
      </c>
      <c r="H8" s="434">
        <v>-70595.7</v>
      </c>
      <c r="I8" s="434">
        <v>-4817.2</v>
      </c>
      <c r="J8" s="434">
        <v>-9934.2000000000007</v>
      </c>
      <c r="K8" s="432" t="e">
        <f>#REF!+J8</f>
        <v>#REF!</v>
      </c>
      <c r="L8" s="575"/>
      <c r="M8" s="575">
        <v>0</v>
      </c>
      <c r="N8" s="575"/>
      <c r="O8" s="575"/>
      <c r="P8" s="434" t="s">
        <v>324</v>
      </c>
      <c r="Q8" s="434">
        <v>-954</v>
      </c>
      <c r="R8" s="435" t="s">
        <v>324</v>
      </c>
      <c r="S8" s="447" t="e">
        <f t="shared" si="0"/>
        <v>#REF!</v>
      </c>
      <c r="U8" s="442"/>
    </row>
    <row r="9" spans="2:23" ht="15">
      <c r="B9" s="409" t="s">
        <v>327</v>
      </c>
      <c r="C9" s="434">
        <v>-13573.9</v>
      </c>
      <c r="D9" s="555"/>
      <c r="E9" s="434">
        <v>-13573.9</v>
      </c>
      <c r="F9" s="434" t="s">
        <v>324</v>
      </c>
      <c r="G9" s="434" t="s">
        <v>324</v>
      </c>
      <c r="H9" s="434">
        <v>-2132.8000000000002</v>
      </c>
      <c r="I9" s="434" t="s">
        <v>324</v>
      </c>
      <c r="J9" s="434" t="s">
        <v>324</v>
      </c>
      <c r="K9" s="432" t="e">
        <f>#REF!+J9</f>
        <v>#REF!</v>
      </c>
      <c r="L9" s="575"/>
      <c r="M9" s="575">
        <v>0</v>
      </c>
      <c r="N9" s="575"/>
      <c r="O9" s="575"/>
      <c r="P9" s="434" t="s">
        <v>324</v>
      </c>
      <c r="Q9" s="434" t="s">
        <v>324</v>
      </c>
      <c r="R9" s="435" t="s">
        <v>324</v>
      </c>
      <c r="S9" s="447" t="e">
        <f t="shared" si="0"/>
        <v>#REF!</v>
      </c>
      <c r="U9" s="442"/>
    </row>
    <row r="10" spans="2:23">
      <c r="B10" s="410" t="s">
        <v>328</v>
      </c>
      <c r="C10" s="434">
        <v>-2132.8000000000002</v>
      </c>
      <c r="D10" s="555"/>
      <c r="E10" s="434">
        <v>-2132.8000000000002</v>
      </c>
      <c r="F10" s="434" t="s">
        <v>324</v>
      </c>
      <c r="G10" s="434" t="s">
        <v>324</v>
      </c>
      <c r="H10" s="434">
        <v>-2132.8000000000002</v>
      </c>
      <c r="I10" s="434" t="s">
        <v>324</v>
      </c>
      <c r="J10" s="434" t="s">
        <v>324</v>
      </c>
      <c r="K10" s="432" t="e">
        <f>#REF!+J10</f>
        <v>#REF!</v>
      </c>
      <c r="L10" s="575"/>
      <c r="M10" s="575">
        <v>0</v>
      </c>
      <c r="N10" s="575"/>
      <c r="O10" s="575"/>
      <c r="P10" s="434" t="s">
        <v>324</v>
      </c>
      <c r="Q10" s="434" t="s">
        <v>324</v>
      </c>
      <c r="R10" s="435" t="s">
        <v>324</v>
      </c>
      <c r="S10" s="447" t="e">
        <f t="shared" si="0"/>
        <v>#REF!</v>
      </c>
      <c r="U10" s="442"/>
    </row>
    <row r="11" spans="2:23">
      <c r="B11" s="410" t="s">
        <v>329</v>
      </c>
      <c r="C11" s="434">
        <v>-11441.1</v>
      </c>
      <c r="D11" s="555"/>
      <c r="E11" s="434">
        <v>-11441.1</v>
      </c>
      <c r="F11" s="434" t="s">
        <v>324</v>
      </c>
      <c r="G11" s="434" t="s">
        <v>324</v>
      </c>
      <c r="H11" s="434" t="s">
        <v>324</v>
      </c>
      <c r="I11" s="434" t="s">
        <v>324</v>
      </c>
      <c r="J11" s="434" t="s">
        <v>324</v>
      </c>
      <c r="K11" s="432" t="e">
        <f>#REF!+J11</f>
        <v>#REF!</v>
      </c>
      <c r="L11" s="575"/>
      <c r="M11" s="575">
        <v>0</v>
      </c>
      <c r="N11" s="575"/>
      <c r="O11" s="575"/>
      <c r="P11" s="434" t="s">
        <v>324</v>
      </c>
      <c r="Q11" s="434" t="s">
        <v>324</v>
      </c>
      <c r="R11" s="435" t="s">
        <v>324</v>
      </c>
      <c r="S11" s="447" t="e">
        <f t="shared" si="0"/>
        <v>#REF!</v>
      </c>
      <c r="U11" s="442"/>
    </row>
    <row r="12" spans="2:23">
      <c r="B12" s="411" t="s">
        <v>330</v>
      </c>
      <c r="C12" s="434">
        <v>23320.1</v>
      </c>
      <c r="D12" s="555"/>
      <c r="E12" s="434">
        <v>7955.7</v>
      </c>
      <c r="F12" s="434">
        <v>-170.7</v>
      </c>
      <c r="G12" s="434">
        <v>2168.5</v>
      </c>
      <c r="H12" s="434">
        <v>2218.1</v>
      </c>
      <c r="I12" s="434">
        <v>2663.5</v>
      </c>
      <c r="J12" s="434">
        <v>642.5</v>
      </c>
      <c r="K12" s="432" t="e">
        <f>#REF!+J12</f>
        <v>#REF!</v>
      </c>
      <c r="L12" s="575"/>
      <c r="M12" s="575">
        <v>0</v>
      </c>
      <c r="N12" s="575"/>
      <c r="O12" s="575"/>
      <c r="P12" s="434" t="s">
        <v>324</v>
      </c>
      <c r="Q12" s="434" t="s">
        <v>324</v>
      </c>
      <c r="R12" s="435">
        <v>102.4</v>
      </c>
      <c r="S12" s="447" t="e">
        <f t="shared" si="0"/>
        <v>#REF!</v>
      </c>
      <c r="U12" s="442"/>
    </row>
    <row r="13" spans="2:23">
      <c r="B13" s="412" t="s">
        <v>331</v>
      </c>
      <c r="C13" s="436">
        <v>651928.6</v>
      </c>
      <c r="D13" s="556"/>
      <c r="E13" s="436">
        <v>-90266.7</v>
      </c>
      <c r="F13" s="434">
        <v>-905.8</v>
      </c>
      <c r="G13" s="434">
        <v>3943.9</v>
      </c>
      <c r="H13" s="434">
        <v>-69981.5</v>
      </c>
      <c r="I13" s="434">
        <v>3581.1</v>
      </c>
      <c r="J13" s="434">
        <v>-6310.7</v>
      </c>
      <c r="K13" s="432" t="e">
        <f>#REF!+J13</f>
        <v>#REF!</v>
      </c>
      <c r="L13" s="576"/>
      <c r="M13" s="576">
        <v>0</v>
      </c>
      <c r="N13" s="576"/>
      <c r="O13" s="576"/>
      <c r="P13" s="434" t="s">
        <v>324</v>
      </c>
      <c r="Q13" s="436">
        <v>-567</v>
      </c>
      <c r="R13" s="437">
        <v>763.3</v>
      </c>
      <c r="S13" s="447" t="e">
        <f t="shared" si="0"/>
        <v>#REF!</v>
      </c>
      <c r="U13" s="442"/>
    </row>
    <row r="14" spans="2:23">
      <c r="B14" s="415" t="s">
        <v>332</v>
      </c>
      <c r="C14" s="436">
        <v>6271</v>
      </c>
      <c r="D14" s="556"/>
      <c r="E14" s="436">
        <v>2512.8000000000002</v>
      </c>
      <c r="F14" s="434">
        <v>33.4</v>
      </c>
      <c r="G14" s="434">
        <v>846.7</v>
      </c>
      <c r="H14" s="434">
        <v>1032.2</v>
      </c>
      <c r="I14" s="434">
        <v>72.400000000000006</v>
      </c>
      <c r="J14" s="434">
        <v>12.1</v>
      </c>
      <c r="K14" s="432" t="e">
        <f>#REF!+J14</f>
        <v>#REF!</v>
      </c>
      <c r="L14" s="576"/>
      <c r="M14" s="576">
        <v>0</v>
      </c>
      <c r="N14" s="576"/>
      <c r="O14" s="576"/>
      <c r="P14" s="434" t="s">
        <v>324</v>
      </c>
      <c r="Q14" s="436">
        <v>387</v>
      </c>
      <c r="R14" s="435" t="s">
        <v>324</v>
      </c>
      <c r="S14" s="447" t="e">
        <f t="shared" si="0"/>
        <v>#REF!</v>
      </c>
      <c r="U14" s="442"/>
    </row>
    <row r="15" spans="2:23">
      <c r="B15" s="415" t="s">
        <v>333</v>
      </c>
      <c r="C15" s="434" t="s">
        <v>324</v>
      </c>
      <c r="D15" s="555"/>
      <c r="E15" s="434" t="s">
        <v>324</v>
      </c>
      <c r="F15" s="434" t="s">
        <v>324</v>
      </c>
      <c r="G15" s="434" t="s">
        <v>324</v>
      </c>
      <c r="H15" s="434" t="s">
        <v>324</v>
      </c>
      <c r="I15" s="434" t="s">
        <v>324</v>
      </c>
      <c r="J15" s="434" t="s">
        <v>324</v>
      </c>
      <c r="K15" s="432" t="e">
        <f>#REF!+J15</f>
        <v>#REF!</v>
      </c>
      <c r="L15" s="575"/>
      <c r="M15" s="575">
        <v>0</v>
      </c>
      <c r="N15" s="575"/>
      <c r="O15" s="575"/>
      <c r="P15" s="434" t="s">
        <v>324</v>
      </c>
      <c r="Q15" s="434" t="s">
        <v>324</v>
      </c>
      <c r="R15" s="435" t="s">
        <v>324</v>
      </c>
      <c r="S15" s="447" t="e">
        <f t="shared" si="0"/>
        <v>#REF!</v>
      </c>
      <c r="U15" s="442"/>
    </row>
    <row r="16" spans="2:23">
      <c r="B16" s="415" t="s">
        <v>334</v>
      </c>
      <c r="C16" s="436">
        <v>-159995.5</v>
      </c>
      <c r="D16" s="556"/>
      <c r="E16" s="436">
        <v>253727.1</v>
      </c>
      <c r="F16" s="434">
        <v>8171.4</v>
      </c>
      <c r="G16" s="434">
        <v>52868.800000000003</v>
      </c>
      <c r="H16" s="434">
        <v>116800.7</v>
      </c>
      <c r="I16" s="434">
        <v>-2756.9</v>
      </c>
      <c r="J16" s="434">
        <v>32712.3</v>
      </c>
      <c r="K16" s="432" t="e">
        <f>#REF!+J16</f>
        <v>#REF!</v>
      </c>
      <c r="L16" s="576"/>
      <c r="M16" s="576">
        <v>0</v>
      </c>
      <c r="N16" s="576"/>
      <c r="O16" s="576"/>
      <c r="P16" s="436">
        <v>6501.1</v>
      </c>
      <c r="Q16" s="436">
        <v>88878.2</v>
      </c>
      <c r="R16" s="435" t="s">
        <v>324</v>
      </c>
      <c r="S16" s="447" t="e">
        <f t="shared" si="0"/>
        <v>#REF!</v>
      </c>
      <c r="U16" s="442"/>
    </row>
    <row r="17" spans="2:23">
      <c r="B17" s="410" t="s">
        <v>335</v>
      </c>
      <c r="C17" s="434">
        <v>-90683.7</v>
      </c>
      <c r="D17" s="555"/>
      <c r="E17" s="434">
        <v>-2396.6</v>
      </c>
      <c r="F17" s="434" t="s">
        <v>324</v>
      </c>
      <c r="G17" s="434" t="s">
        <v>324</v>
      </c>
      <c r="H17" s="434">
        <v>-174.9</v>
      </c>
      <c r="I17" s="434">
        <v>-2221.6999999999998</v>
      </c>
      <c r="J17" s="434" t="s">
        <v>324</v>
      </c>
      <c r="K17" s="432" t="e">
        <f>#REF!+J17</f>
        <v>#REF!</v>
      </c>
      <c r="L17" s="575"/>
      <c r="M17" s="575">
        <v>0</v>
      </c>
      <c r="N17" s="575"/>
      <c r="O17" s="575"/>
      <c r="P17" s="434" t="s">
        <v>324</v>
      </c>
      <c r="Q17" s="434">
        <v>59813.3</v>
      </c>
      <c r="R17" s="435" t="s">
        <v>324</v>
      </c>
      <c r="S17" s="447" t="e">
        <f t="shared" si="0"/>
        <v>#REF!</v>
      </c>
      <c r="U17" s="442"/>
    </row>
    <row r="18" spans="2:23">
      <c r="B18" s="410" t="s">
        <v>336</v>
      </c>
      <c r="C18" s="434">
        <v>-57810.3</v>
      </c>
      <c r="D18" s="555"/>
      <c r="E18" s="434">
        <v>-14315.8</v>
      </c>
      <c r="F18" s="434" t="s">
        <v>324</v>
      </c>
      <c r="G18" s="434" t="s">
        <v>324</v>
      </c>
      <c r="H18" s="434">
        <v>-17</v>
      </c>
      <c r="I18" s="434">
        <v>-14298.8</v>
      </c>
      <c r="J18" s="434" t="s">
        <v>324</v>
      </c>
      <c r="K18" s="432" t="e">
        <f>#REF!+J18</f>
        <v>#REF!</v>
      </c>
      <c r="L18" s="575"/>
      <c r="M18" s="575">
        <v>0</v>
      </c>
      <c r="N18" s="575"/>
      <c r="O18" s="575"/>
      <c r="P18" s="434">
        <v>1076.5</v>
      </c>
      <c r="Q18" s="434">
        <v>29064.9</v>
      </c>
      <c r="R18" s="435" t="s">
        <v>324</v>
      </c>
      <c r="S18" s="447" t="e">
        <f t="shared" si="0"/>
        <v>#REF!</v>
      </c>
      <c r="U18" s="442"/>
    </row>
    <row r="19" spans="2:23">
      <c r="B19" s="410" t="s">
        <v>337</v>
      </c>
      <c r="C19" s="434">
        <v>-1814.6</v>
      </c>
      <c r="D19" s="555"/>
      <c r="E19" s="434">
        <v>-17</v>
      </c>
      <c r="F19" s="434" t="s">
        <v>324</v>
      </c>
      <c r="G19" s="434" t="s">
        <v>324</v>
      </c>
      <c r="H19" s="434">
        <v>-4.3</v>
      </c>
      <c r="I19" s="434">
        <v>-12.7</v>
      </c>
      <c r="J19" s="434" t="s">
        <v>324</v>
      </c>
      <c r="K19" s="432" t="e">
        <f>#REF!+J19</f>
        <v>#REF!</v>
      </c>
      <c r="L19" s="575"/>
      <c r="M19" s="575">
        <v>0</v>
      </c>
      <c r="N19" s="575"/>
      <c r="O19" s="575"/>
      <c r="P19" s="434">
        <v>5424.6</v>
      </c>
      <c r="Q19" s="434" t="s">
        <v>324</v>
      </c>
      <c r="R19" s="435" t="s">
        <v>324</v>
      </c>
      <c r="S19" s="447" t="e">
        <f t="shared" si="0"/>
        <v>#REF!</v>
      </c>
      <c r="U19" s="442"/>
    </row>
    <row r="20" spans="2:23">
      <c r="B20" s="410" t="s">
        <v>338</v>
      </c>
      <c r="C20" s="434">
        <v>1524.6</v>
      </c>
      <c r="D20" s="555"/>
      <c r="E20" s="434">
        <v>1798</v>
      </c>
      <c r="F20" s="434">
        <v>711.4</v>
      </c>
      <c r="G20" s="434" t="s">
        <v>324</v>
      </c>
      <c r="H20" s="434" t="s">
        <v>324</v>
      </c>
      <c r="I20" s="434" t="s">
        <v>324</v>
      </c>
      <c r="J20" s="434">
        <v>1086.5999999999999</v>
      </c>
      <c r="K20" s="432" t="e">
        <f>#REF!+J20</f>
        <v>#REF!</v>
      </c>
      <c r="L20" s="575"/>
      <c r="M20" s="575">
        <v>0</v>
      </c>
      <c r="N20" s="575"/>
      <c r="O20" s="575"/>
      <c r="P20" s="434" t="s">
        <v>324</v>
      </c>
      <c r="Q20" s="434" t="s">
        <v>324</v>
      </c>
      <c r="R20" s="435" t="s">
        <v>324</v>
      </c>
      <c r="S20" s="447" t="e">
        <f t="shared" si="0"/>
        <v>#REF!</v>
      </c>
      <c r="U20" s="442"/>
    </row>
    <row r="21" spans="2:23">
      <c r="B21" s="410" t="s">
        <v>339</v>
      </c>
      <c r="C21" s="434" t="s">
        <v>324</v>
      </c>
      <c r="D21" s="555"/>
      <c r="E21" s="434" t="s">
        <v>324</v>
      </c>
      <c r="F21" s="434" t="s">
        <v>324</v>
      </c>
      <c r="G21" s="434" t="s">
        <v>324</v>
      </c>
      <c r="H21" s="434" t="s">
        <v>324</v>
      </c>
      <c r="I21" s="434" t="s">
        <v>324</v>
      </c>
      <c r="J21" s="434" t="s">
        <v>324</v>
      </c>
      <c r="K21" s="432" t="e">
        <f>#REF!+J21</f>
        <v>#REF!</v>
      </c>
      <c r="L21" s="575"/>
      <c r="M21" s="575">
        <v>0</v>
      </c>
      <c r="N21" s="575"/>
      <c r="O21" s="575"/>
      <c r="P21" s="434" t="s">
        <v>324</v>
      </c>
      <c r="Q21" s="434" t="s">
        <v>324</v>
      </c>
      <c r="R21" s="435" t="s">
        <v>324</v>
      </c>
      <c r="S21" s="447" t="e">
        <f t="shared" si="0"/>
        <v>#REF!</v>
      </c>
      <c r="U21" s="442"/>
    </row>
    <row r="22" spans="2:23" ht="15">
      <c r="B22" s="416" t="s">
        <v>340</v>
      </c>
      <c r="C22" s="434">
        <v>-11785.7</v>
      </c>
      <c r="D22" s="555"/>
      <c r="E22" s="434">
        <v>267670.3</v>
      </c>
      <c r="F22" s="434">
        <v>7460</v>
      </c>
      <c r="G22" s="434">
        <v>52868.800000000003</v>
      </c>
      <c r="H22" s="434">
        <v>116996.9</v>
      </c>
      <c r="I22" s="434">
        <v>13776.3</v>
      </c>
      <c r="J22" s="434">
        <v>30637.5</v>
      </c>
      <c r="K22" s="432" t="e">
        <f>#REF!+J22</f>
        <v>#REF!</v>
      </c>
      <c r="L22" s="575"/>
      <c r="M22" s="575">
        <v>0</v>
      </c>
      <c r="N22" s="575"/>
      <c r="O22" s="575"/>
      <c r="P22" s="434" t="s">
        <v>324</v>
      </c>
      <c r="Q22" s="434" t="s">
        <v>324</v>
      </c>
      <c r="R22" s="435" t="s">
        <v>324</v>
      </c>
      <c r="S22" s="447" t="e">
        <f t="shared" si="0"/>
        <v>#REF!</v>
      </c>
      <c r="U22" s="442"/>
    </row>
    <row r="23" spans="2:23" ht="15">
      <c r="B23" s="416" t="s">
        <v>341</v>
      </c>
      <c r="C23" s="434">
        <v>988.2</v>
      </c>
      <c r="D23" s="555"/>
      <c r="E23" s="434">
        <v>988.2</v>
      </c>
      <c r="F23" s="434" t="s">
        <v>324</v>
      </c>
      <c r="G23" s="434" t="s">
        <v>324</v>
      </c>
      <c r="H23" s="434" t="s">
        <v>324</v>
      </c>
      <c r="I23" s="434" t="s">
        <v>324</v>
      </c>
      <c r="J23" s="434">
        <v>988.2</v>
      </c>
      <c r="K23" s="432" t="e">
        <f>#REF!+J23</f>
        <v>#REF!</v>
      </c>
      <c r="L23" s="575"/>
      <c r="M23" s="575">
        <v>0</v>
      </c>
      <c r="N23" s="575"/>
      <c r="O23" s="575"/>
      <c r="P23" s="434" t="s">
        <v>324</v>
      </c>
      <c r="Q23" s="434" t="s">
        <v>324</v>
      </c>
      <c r="R23" s="435" t="s">
        <v>324</v>
      </c>
      <c r="S23" s="447" t="e">
        <f t="shared" si="0"/>
        <v>#REF!</v>
      </c>
      <c r="U23" s="442"/>
    </row>
    <row r="24" spans="2:23">
      <c r="B24" s="410" t="s">
        <v>342</v>
      </c>
      <c r="C24" s="434">
        <v>-414</v>
      </c>
      <c r="D24" s="555"/>
      <c r="E24" s="434" t="s">
        <v>324</v>
      </c>
      <c r="F24" s="434" t="s">
        <v>324</v>
      </c>
      <c r="G24" s="434" t="s">
        <v>324</v>
      </c>
      <c r="H24" s="434" t="s">
        <v>324</v>
      </c>
      <c r="I24" s="434" t="s">
        <v>324</v>
      </c>
      <c r="J24" s="434" t="s">
        <v>324</v>
      </c>
      <c r="K24" s="432" t="e">
        <f>#REF!+J24</f>
        <v>#REF!</v>
      </c>
      <c r="L24" s="575"/>
      <c r="M24" s="575">
        <v>0</v>
      </c>
      <c r="N24" s="575"/>
      <c r="O24" s="575"/>
      <c r="P24" s="434" t="s">
        <v>324</v>
      </c>
      <c r="Q24" s="434" t="s">
        <v>324</v>
      </c>
      <c r="R24" s="435" t="s">
        <v>324</v>
      </c>
      <c r="S24" s="447" t="e">
        <f t="shared" si="0"/>
        <v>#REF!</v>
      </c>
      <c r="U24" s="442"/>
    </row>
    <row r="25" spans="2:23" ht="15">
      <c r="B25" s="417" t="s">
        <v>343</v>
      </c>
      <c r="C25" s="436">
        <v>48858</v>
      </c>
      <c r="D25" s="556"/>
      <c r="E25" s="436">
        <v>13938.9</v>
      </c>
      <c r="F25" s="434" t="s">
        <v>324</v>
      </c>
      <c r="G25" s="434" t="s">
        <v>324</v>
      </c>
      <c r="H25" s="434" t="s">
        <v>324</v>
      </c>
      <c r="I25" s="434" t="s">
        <v>324</v>
      </c>
      <c r="J25" s="434">
        <v>4768.3</v>
      </c>
      <c r="K25" s="432" t="e">
        <f>#REF!+J25</f>
        <v>#REF!</v>
      </c>
      <c r="L25" s="576"/>
      <c r="M25" s="576">
        <v>0</v>
      </c>
      <c r="N25" s="576"/>
      <c r="O25" s="576"/>
      <c r="P25" s="436">
        <v>612.1</v>
      </c>
      <c r="Q25" s="436">
        <v>14168.5</v>
      </c>
      <c r="R25" s="435" t="s">
        <v>324</v>
      </c>
      <c r="S25" s="447" t="e">
        <f t="shared" si="0"/>
        <v>#REF!</v>
      </c>
      <c r="U25" s="442"/>
    </row>
    <row r="26" spans="2:23" ht="15">
      <c r="B26" s="417" t="s">
        <v>344</v>
      </c>
      <c r="C26" s="436">
        <v>55461.8</v>
      </c>
      <c r="D26" s="556"/>
      <c r="E26" s="434" t="s">
        <v>324</v>
      </c>
      <c r="F26" s="434" t="s">
        <v>324</v>
      </c>
      <c r="G26" s="434" t="s">
        <v>324</v>
      </c>
      <c r="H26" s="434" t="s">
        <v>324</v>
      </c>
      <c r="I26" s="434" t="s">
        <v>324</v>
      </c>
      <c r="J26" s="434" t="s">
        <v>324</v>
      </c>
      <c r="K26" s="432" t="e">
        <f>#REF!+J26</f>
        <v>#REF!</v>
      </c>
      <c r="L26" s="576"/>
      <c r="M26" s="576">
        <v>0</v>
      </c>
      <c r="N26" s="576"/>
      <c r="O26" s="576"/>
      <c r="P26" s="436">
        <v>733.1</v>
      </c>
      <c r="Q26" s="436">
        <v>10327</v>
      </c>
      <c r="R26" s="435" t="s">
        <v>324</v>
      </c>
      <c r="S26" s="447" t="e">
        <f t="shared" si="0"/>
        <v>#REF!</v>
      </c>
      <c r="U26" s="442"/>
    </row>
    <row r="27" spans="2:23" ht="15">
      <c r="B27" s="417" t="s">
        <v>345</v>
      </c>
      <c r="C27" s="436">
        <v>381342.3</v>
      </c>
      <c r="D27" s="556"/>
      <c r="E27" s="436">
        <v>147008.70000000001</v>
      </c>
      <c r="F27" s="434">
        <v>7232.2</v>
      </c>
      <c r="G27" s="434">
        <v>55966</v>
      </c>
      <c r="H27" s="434">
        <v>45787</v>
      </c>
      <c r="I27" s="434">
        <v>751.8</v>
      </c>
      <c r="J27" s="434">
        <v>21621.200000000001</v>
      </c>
      <c r="K27" s="432" t="e">
        <f>#REF!+J27</f>
        <v>#REF!</v>
      </c>
      <c r="L27" s="576"/>
      <c r="M27" s="576">
        <v>0</v>
      </c>
      <c r="N27" s="576"/>
      <c r="O27" s="576"/>
      <c r="P27" s="436">
        <v>5155.8999999999996</v>
      </c>
      <c r="Q27" s="436">
        <v>63428.7</v>
      </c>
      <c r="R27" s="437">
        <v>763.3</v>
      </c>
      <c r="S27" s="447" t="e">
        <f t="shared" si="0"/>
        <v>#REF!</v>
      </c>
      <c r="U27" s="442"/>
    </row>
    <row r="28" spans="2:23" ht="15">
      <c r="B28" s="417" t="s">
        <v>346</v>
      </c>
      <c r="C28" s="436">
        <v>344985</v>
      </c>
      <c r="D28" s="556"/>
      <c r="E28" s="436">
        <v>112682.9</v>
      </c>
      <c r="F28" s="434">
        <v>2119.8000000000002</v>
      </c>
      <c r="G28" s="434">
        <v>55966</v>
      </c>
      <c r="H28" s="434">
        <v>45710.2</v>
      </c>
      <c r="I28" s="434">
        <v>666.8</v>
      </c>
      <c r="J28" s="434"/>
      <c r="K28" s="432" t="e">
        <f>#REF!+J28</f>
        <v>#REF!</v>
      </c>
      <c r="L28" s="576"/>
      <c r="M28" s="576">
        <v>0</v>
      </c>
      <c r="N28" s="576"/>
      <c r="O28" s="576"/>
      <c r="P28" s="436">
        <v>5155.8999999999996</v>
      </c>
      <c r="Q28" s="436">
        <v>63428.7</v>
      </c>
      <c r="R28" s="437">
        <v>130.1</v>
      </c>
      <c r="S28" s="447" t="e">
        <f t="shared" si="0"/>
        <v>#REF!</v>
      </c>
      <c r="U28" s="442"/>
    </row>
    <row r="29" spans="2:23">
      <c r="B29" s="418" t="s">
        <v>347</v>
      </c>
      <c r="C29" s="557">
        <v>2347437.8429999999</v>
      </c>
      <c r="D29" s="558">
        <v>165986.215</v>
      </c>
      <c r="E29" s="557">
        <v>124772.26700000001</v>
      </c>
      <c r="F29" s="557">
        <v>3810.7440000000001</v>
      </c>
      <c r="G29" s="557">
        <v>0</v>
      </c>
      <c r="H29" s="557">
        <v>31425.475999999999</v>
      </c>
      <c r="I29" s="557">
        <v>59921.184999999998</v>
      </c>
      <c r="J29" s="557">
        <f t="shared" ref="J29:J42" si="1">E29-SUM(F29:I29)-W29</f>
        <v>12260.76200000001</v>
      </c>
      <c r="K29" s="432">
        <v>821176.47</v>
      </c>
      <c r="L29" s="578">
        <v>2526</v>
      </c>
      <c r="M29" s="578">
        <v>788.36099999999999</v>
      </c>
      <c r="N29" s="553">
        <v>90388</v>
      </c>
      <c r="O29" s="578">
        <v>58874</v>
      </c>
      <c r="P29" s="578">
        <v>173430</v>
      </c>
      <c r="Q29" s="557">
        <v>823770</v>
      </c>
      <c r="R29" s="559">
        <v>103080.6</v>
      </c>
      <c r="S29" s="447">
        <f t="shared" si="0"/>
        <v>2347437.8130000001</v>
      </c>
      <c r="T29" s="442">
        <f t="shared" ref="T29:T42" si="2">S29-C29</f>
        <v>-2.9999999795109034E-2</v>
      </c>
      <c r="U29" s="442"/>
      <c r="W29" s="427">
        <v>17354.099999999999</v>
      </c>
    </row>
    <row r="30" spans="2:23" ht="15">
      <c r="B30" s="419" t="s">
        <v>348</v>
      </c>
      <c r="C30" s="558">
        <v>323693.26799999998</v>
      </c>
      <c r="D30" s="557">
        <v>38292.796000000002</v>
      </c>
      <c r="E30" s="558">
        <v>3491.672</v>
      </c>
      <c r="F30" s="558">
        <v>45.366</v>
      </c>
      <c r="G30" s="558">
        <v>0</v>
      </c>
      <c r="H30" s="558">
        <v>3382.306</v>
      </c>
      <c r="I30" s="558">
        <v>0</v>
      </c>
      <c r="J30" s="557">
        <f t="shared" si="1"/>
        <v>64</v>
      </c>
      <c r="K30" s="432">
        <v>88242.3</v>
      </c>
      <c r="L30" s="579">
        <v>1</v>
      </c>
      <c r="M30" s="579">
        <v>0</v>
      </c>
      <c r="N30" s="554">
        <v>63</v>
      </c>
      <c r="O30" s="579">
        <v>0</v>
      </c>
      <c r="P30" s="579">
        <v>1520</v>
      </c>
      <c r="Q30" s="558">
        <v>93826.8</v>
      </c>
      <c r="R30" s="560">
        <v>98255.7</v>
      </c>
      <c r="S30" s="447">
        <f t="shared" si="0"/>
        <v>323693.26800000004</v>
      </c>
      <c r="T30" s="442">
        <f t="shared" si="2"/>
        <v>0</v>
      </c>
      <c r="U30" s="442"/>
      <c r="W30" s="427">
        <v>0</v>
      </c>
    </row>
    <row r="31" spans="2:23" ht="15">
      <c r="B31" s="419" t="s">
        <v>349</v>
      </c>
      <c r="C31" s="557">
        <v>617383.64199999999</v>
      </c>
      <c r="D31" s="558">
        <v>41000.930999999997</v>
      </c>
      <c r="E31" s="557">
        <v>68586.876999999993</v>
      </c>
      <c r="F31" s="557">
        <v>0</v>
      </c>
      <c r="G31" s="557">
        <v>0</v>
      </c>
      <c r="H31" s="557">
        <v>813.46600000000001</v>
      </c>
      <c r="I31" s="557">
        <v>53525.79</v>
      </c>
      <c r="J31" s="557">
        <f t="shared" si="1"/>
        <v>576.02099999999155</v>
      </c>
      <c r="K31" s="432">
        <v>218454.02100000001</v>
      </c>
      <c r="L31" s="578">
        <v>381</v>
      </c>
      <c r="M31" s="578">
        <v>356.03399999999999</v>
      </c>
      <c r="N31" s="553">
        <v>1409</v>
      </c>
      <c r="O31" s="578">
        <v>8685</v>
      </c>
      <c r="P31" s="578">
        <v>97183</v>
      </c>
      <c r="Q31" s="557">
        <v>192474</v>
      </c>
      <c r="R31" s="559">
        <v>2525.4</v>
      </c>
      <c r="S31" s="447">
        <f t="shared" si="0"/>
        <v>617383.66299999994</v>
      </c>
      <c r="T31" s="442">
        <f t="shared" si="2"/>
        <v>2.0999999949708581E-2</v>
      </c>
      <c r="U31" s="442"/>
      <c r="W31" s="427">
        <v>13671.6</v>
      </c>
    </row>
    <row r="32" spans="2:23" ht="15">
      <c r="B32" s="419" t="s">
        <v>350</v>
      </c>
      <c r="C32" s="558">
        <v>96839.25</v>
      </c>
      <c r="D32" s="557">
        <v>1343.058</v>
      </c>
      <c r="E32" s="558">
        <v>3138.9920000000002</v>
      </c>
      <c r="F32" s="558">
        <v>90.731999999999999</v>
      </c>
      <c r="G32" s="558">
        <v>0</v>
      </c>
      <c r="H32" s="558">
        <v>642.21</v>
      </c>
      <c r="I32" s="558">
        <v>1222.05</v>
      </c>
      <c r="J32" s="557">
        <f t="shared" si="1"/>
        <v>1184.0000000000002</v>
      </c>
      <c r="K32" s="432">
        <v>33843.599999999999</v>
      </c>
      <c r="L32" s="579">
        <v>13</v>
      </c>
      <c r="M32" s="579">
        <v>0</v>
      </c>
      <c r="N32" s="554">
        <v>0</v>
      </c>
      <c r="O32" s="579">
        <v>256</v>
      </c>
      <c r="P32" s="579">
        <v>1109</v>
      </c>
      <c r="Q32" s="558">
        <v>57135.6</v>
      </c>
      <c r="R32" s="560">
        <v>0</v>
      </c>
      <c r="S32" s="447">
        <f t="shared" si="0"/>
        <v>96839.25</v>
      </c>
      <c r="T32" s="442">
        <f t="shared" si="2"/>
        <v>0</v>
      </c>
      <c r="U32" s="442"/>
      <c r="W32" s="427">
        <v>0</v>
      </c>
    </row>
    <row r="33" spans="2:23" ht="15">
      <c r="B33" s="419" t="s">
        <v>351</v>
      </c>
      <c r="C33" s="557">
        <v>274429.65700000001</v>
      </c>
      <c r="D33" s="558">
        <v>57791.9</v>
      </c>
      <c r="E33" s="557">
        <v>17193.571</v>
      </c>
      <c r="F33" s="557">
        <v>453.66</v>
      </c>
      <c r="G33" s="557">
        <v>0</v>
      </c>
      <c r="H33" s="557">
        <v>3339.4920000000002</v>
      </c>
      <c r="I33" s="557">
        <v>3462.4749999999999</v>
      </c>
      <c r="J33" s="557">
        <f t="shared" si="1"/>
        <v>9937.9439999999995</v>
      </c>
      <c r="K33" s="432">
        <v>104013</v>
      </c>
      <c r="L33" s="578">
        <v>22</v>
      </c>
      <c r="M33" s="578">
        <v>152.58600000000001</v>
      </c>
      <c r="N33" s="553">
        <v>5787</v>
      </c>
      <c r="O33" s="578">
        <v>44429</v>
      </c>
      <c r="P33" s="578">
        <v>775</v>
      </c>
      <c r="Q33" s="557">
        <v>44265.599999999999</v>
      </c>
      <c r="R33" s="559">
        <v>0</v>
      </c>
      <c r="S33" s="447">
        <f t="shared" si="0"/>
        <v>274429.65700000001</v>
      </c>
      <c r="T33" s="442">
        <f t="shared" si="2"/>
        <v>0</v>
      </c>
      <c r="U33" s="442"/>
      <c r="W33" s="427">
        <v>0</v>
      </c>
    </row>
    <row r="34" spans="2:23" ht="15">
      <c r="B34" s="419" t="s">
        <v>352</v>
      </c>
      <c r="C34" s="558">
        <v>120490.32</v>
      </c>
      <c r="D34" s="557">
        <v>126.816</v>
      </c>
      <c r="E34" s="558">
        <v>1839.742</v>
      </c>
      <c r="F34" s="558">
        <v>136.09800000000001</v>
      </c>
      <c r="G34" s="558">
        <v>0</v>
      </c>
      <c r="H34" s="558">
        <v>1626.932</v>
      </c>
      <c r="I34" s="558">
        <v>0</v>
      </c>
      <c r="J34" s="557">
        <f t="shared" si="1"/>
        <v>76.711999999999989</v>
      </c>
      <c r="K34" s="432">
        <v>36487.800000000003</v>
      </c>
      <c r="L34" s="579">
        <v>0</v>
      </c>
      <c r="M34" s="579">
        <v>50.862000000000002</v>
      </c>
      <c r="N34" s="554">
        <v>225</v>
      </c>
      <c r="O34" s="579">
        <v>2</v>
      </c>
      <c r="P34" s="579">
        <v>13440</v>
      </c>
      <c r="Q34" s="558">
        <v>66654</v>
      </c>
      <c r="R34" s="560">
        <v>1664.1</v>
      </c>
      <c r="S34" s="447">
        <f t="shared" si="0"/>
        <v>120490.32000000002</v>
      </c>
      <c r="T34" s="442">
        <f t="shared" si="2"/>
        <v>0</v>
      </c>
      <c r="U34" s="442"/>
      <c r="W34" s="427">
        <v>0</v>
      </c>
    </row>
    <row r="35" spans="2:23" ht="15">
      <c r="B35" s="419" t="s">
        <v>260</v>
      </c>
      <c r="C35" s="557">
        <v>214809.09700000001</v>
      </c>
      <c r="D35" s="558">
        <v>336.67700000000002</v>
      </c>
      <c r="E35" s="557">
        <v>9877.6270000000004</v>
      </c>
      <c r="F35" s="557">
        <v>1497.078</v>
      </c>
      <c r="G35" s="557">
        <v>0</v>
      </c>
      <c r="H35" s="557">
        <v>8263.1020000000008</v>
      </c>
      <c r="I35" s="557">
        <v>40.734999999999999</v>
      </c>
      <c r="J35" s="557">
        <f t="shared" si="1"/>
        <v>76.711999999999534</v>
      </c>
      <c r="K35" s="432">
        <v>71144.100000000006</v>
      </c>
      <c r="L35" s="578">
        <v>371</v>
      </c>
      <c r="M35" s="578">
        <v>76.293000000000006</v>
      </c>
      <c r="N35" s="553">
        <v>2144</v>
      </c>
      <c r="O35" s="578">
        <v>1</v>
      </c>
      <c r="P35" s="578">
        <v>9929</v>
      </c>
      <c r="Q35" s="557">
        <v>120315.6</v>
      </c>
      <c r="R35" s="559">
        <v>613.79999999999995</v>
      </c>
      <c r="S35" s="447">
        <f t="shared" si="0"/>
        <v>214809.09700000001</v>
      </c>
      <c r="T35" s="442">
        <f t="shared" si="2"/>
        <v>0</v>
      </c>
      <c r="U35" s="442"/>
      <c r="W35" s="427">
        <v>0</v>
      </c>
    </row>
    <row r="36" spans="2:23">
      <c r="B36" s="420" t="s">
        <v>353</v>
      </c>
      <c r="C36" s="558">
        <v>15335.648999999999</v>
      </c>
      <c r="D36" s="557">
        <v>2557.4859999999999</v>
      </c>
      <c r="E36" s="558">
        <v>1230.8630000000001</v>
      </c>
      <c r="F36" s="558">
        <v>317.56200000000001</v>
      </c>
      <c r="G36" s="558">
        <v>0</v>
      </c>
      <c r="H36" s="558">
        <v>642.21</v>
      </c>
      <c r="I36" s="558">
        <v>40.734999999999999</v>
      </c>
      <c r="J36" s="557">
        <f t="shared" si="1"/>
        <v>230.35599999999999</v>
      </c>
      <c r="K36" s="432">
        <v>4308.3</v>
      </c>
      <c r="L36" s="579">
        <v>50</v>
      </c>
      <c r="M36" s="579">
        <v>0</v>
      </c>
      <c r="N36" s="554">
        <v>809</v>
      </c>
      <c r="O36" s="579">
        <v>0</v>
      </c>
      <c r="P36" s="579">
        <v>116</v>
      </c>
      <c r="Q36" s="558">
        <v>6264</v>
      </c>
      <c r="R36" s="560">
        <v>0</v>
      </c>
      <c r="S36" s="447">
        <f t="shared" si="0"/>
        <v>15335.649000000001</v>
      </c>
      <c r="T36" s="442">
        <f t="shared" si="2"/>
        <v>0</v>
      </c>
      <c r="U36" s="442"/>
      <c r="W36" s="427">
        <v>0</v>
      </c>
    </row>
    <row r="37" spans="2:23">
      <c r="B37" s="420" t="s">
        <v>354</v>
      </c>
      <c r="C37" s="557">
        <v>204843.899</v>
      </c>
      <c r="D37" s="558">
        <v>8783.3140000000003</v>
      </c>
      <c r="E37" s="557">
        <v>7750.8540000000003</v>
      </c>
      <c r="F37" s="557">
        <v>226.83</v>
      </c>
      <c r="G37" s="557">
        <v>0</v>
      </c>
      <c r="H37" s="557">
        <v>6464.9139999999998</v>
      </c>
      <c r="I37" s="557">
        <v>1059.1099999999999</v>
      </c>
      <c r="J37" s="557">
        <f t="shared" si="1"/>
        <v>9.0949470177292824E-13</v>
      </c>
      <c r="K37" s="432">
        <v>110628.9</v>
      </c>
      <c r="L37" s="578">
        <v>695</v>
      </c>
      <c r="M37" s="578">
        <v>25.431000000000001</v>
      </c>
      <c r="N37" s="553">
        <v>1637</v>
      </c>
      <c r="O37" s="578">
        <v>0</v>
      </c>
      <c r="P37" s="578">
        <v>9825</v>
      </c>
      <c r="Q37" s="557">
        <v>65498.400000000001</v>
      </c>
      <c r="R37" s="559">
        <v>0</v>
      </c>
      <c r="S37" s="447">
        <f t="shared" si="0"/>
        <v>204843.899</v>
      </c>
      <c r="T37" s="442">
        <f t="shared" si="2"/>
        <v>0</v>
      </c>
      <c r="U37" s="442"/>
      <c r="W37" s="427">
        <v>0</v>
      </c>
    </row>
    <row r="38" spans="2:23">
      <c r="B38" s="420" t="s">
        <v>355</v>
      </c>
      <c r="C38" s="558">
        <v>237953.03599999999</v>
      </c>
      <c r="D38" s="557">
        <v>15391.97</v>
      </c>
      <c r="E38" s="558">
        <v>2155.8110000000001</v>
      </c>
      <c r="F38" s="558">
        <v>680.49</v>
      </c>
      <c r="G38" s="558">
        <v>0</v>
      </c>
      <c r="H38" s="558">
        <v>1070.3499999999999</v>
      </c>
      <c r="I38" s="558">
        <v>366.61500000000001</v>
      </c>
      <c r="J38" s="557">
        <f t="shared" si="1"/>
        <v>38.356000000000222</v>
      </c>
      <c r="K38" s="432">
        <v>86829.3</v>
      </c>
      <c r="L38" s="579">
        <v>924</v>
      </c>
      <c r="M38" s="579">
        <v>127.155</v>
      </c>
      <c r="N38" s="554">
        <v>22533</v>
      </c>
      <c r="O38" s="579">
        <v>5482</v>
      </c>
      <c r="P38" s="579">
        <v>27747</v>
      </c>
      <c r="Q38" s="558">
        <v>76762.8</v>
      </c>
      <c r="R38" s="560">
        <v>0</v>
      </c>
      <c r="S38" s="447">
        <f t="shared" ref="S38:S69" si="3">SUM(F38:R38)+D38</f>
        <v>237953.03599999999</v>
      </c>
      <c r="T38" s="442">
        <f t="shared" si="2"/>
        <v>0</v>
      </c>
      <c r="U38" s="442"/>
      <c r="W38" s="427">
        <v>0</v>
      </c>
    </row>
    <row r="39" spans="2:23" ht="15">
      <c r="B39" s="419" t="s">
        <v>356</v>
      </c>
      <c r="C39" s="557">
        <v>74996.255000000005</v>
      </c>
      <c r="D39" s="558">
        <v>0</v>
      </c>
      <c r="E39" s="557">
        <v>557.05499999999995</v>
      </c>
      <c r="F39" s="557">
        <v>45.366</v>
      </c>
      <c r="G39" s="557">
        <v>0</v>
      </c>
      <c r="H39" s="557">
        <v>470.95400000000001</v>
      </c>
      <c r="I39" s="557">
        <v>40.734999999999999</v>
      </c>
      <c r="J39" s="557">
        <f t="shared" si="1"/>
        <v>-1.1368683772161603E-13</v>
      </c>
      <c r="K39" s="432">
        <v>5130</v>
      </c>
      <c r="L39" s="578">
        <v>11</v>
      </c>
      <c r="M39" s="578">
        <v>0</v>
      </c>
      <c r="N39" s="553">
        <v>50270</v>
      </c>
      <c r="O39" s="578">
        <v>19</v>
      </c>
      <c r="P39" s="578">
        <v>2838</v>
      </c>
      <c r="Q39" s="557">
        <v>16171.2</v>
      </c>
      <c r="R39" s="559">
        <v>0</v>
      </c>
      <c r="S39" s="447">
        <f t="shared" si="3"/>
        <v>74996.255000000005</v>
      </c>
      <c r="T39" s="442">
        <f t="shared" si="2"/>
        <v>0</v>
      </c>
      <c r="U39" s="442"/>
      <c r="W39" s="427">
        <v>0</v>
      </c>
    </row>
    <row r="40" spans="2:23">
      <c r="B40" s="420" t="s">
        <v>357</v>
      </c>
      <c r="C40" s="557">
        <v>21569.934000000001</v>
      </c>
      <c r="D40" s="558">
        <v>253.63200000000001</v>
      </c>
      <c r="E40" s="557">
        <v>940.30200000000002</v>
      </c>
      <c r="F40" s="557">
        <v>45.366</v>
      </c>
      <c r="G40" s="557">
        <v>0</v>
      </c>
      <c r="H40" s="557">
        <v>813.46600000000001</v>
      </c>
      <c r="I40" s="557">
        <v>81.47</v>
      </c>
      <c r="J40" s="557">
        <f t="shared" si="1"/>
        <v>0</v>
      </c>
      <c r="K40" s="432">
        <v>9849.6</v>
      </c>
      <c r="L40" s="578">
        <v>0</v>
      </c>
      <c r="M40" s="578">
        <v>0</v>
      </c>
      <c r="N40" s="553">
        <v>96</v>
      </c>
      <c r="O40" s="578">
        <v>0</v>
      </c>
      <c r="P40" s="578">
        <v>2298</v>
      </c>
      <c r="Q40" s="557">
        <v>8132.4</v>
      </c>
      <c r="R40" s="559">
        <v>0</v>
      </c>
      <c r="S40" s="447">
        <f t="shared" si="3"/>
        <v>21569.934000000001</v>
      </c>
      <c r="T40" s="442">
        <f t="shared" si="2"/>
        <v>0</v>
      </c>
      <c r="U40" s="442"/>
      <c r="W40" s="427">
        <v>0</v>
      </c>
    </row>
    <row r="41" spans="2:23">
      <c r="B41" s="420" t="s">
        <v>215</v>
      </c>
      <c r="C41" s="558">
        <v>35077.5</v>
      </c>
      <c r="D41" s="557">
        <v>0</v>
      </c>
      <c r="E41" s="558">
        <v>0</v>
      </c>
      <c r="F41" s="558">
        <v>0</v>
      </c>
      <c r="G41" s="558">
        <v>0</v>
      </c>
      <c r="H41" s="558">
        <v>0</v>
      </c>
      <c r="I41" s="558">
        <v>0</v>
      </c>
      <c r="J41" s="557">
        <f t="shared" si="1"/>
        <v>0</v>
      </c>
      <c r="K41" s="432">
        <v>20875.5</v>
      </c>
      <c r="L41" s="579">
        <v>0</v>
      </c>
      <c r="M41" s="579">
        <v>0</v>
      </c>
      <c r="N41" s="554">
        <v>0</v>
      </c>
      <c r="O41" s="579">
        <v>0</v>
      </c>
      <c r="P41" s="579">
        <v>0</v>
      </c>
      <c r="Q41" s="558">
        <v>14202</v>
      </c>
      <c r="R41" s="560">
        <v>0</v>
      </c>
      <c r="S41" s="447">
        <f t="shared" si="3"/>
        <v>35077.5</v>
      </c>
      <c r="T41" s="442">
        <f t="shared" si="2"/>
        <v>0</v>
      </c>
      <c r="U41" s="442"/>
      <c r="W41" s="427">
        <v>0</v>
      </c>
    </row>
    <row r="42" spans="2:23" ht="15">
      <c r="B42" s="419" t="s">
        <v>358</v>
      </c>
      <c r="C42" s="558">
        <v>110016.336</v>
      </c>
      <c r="D42" s="557">
        <v>107.63500000000001</v>
      </c>
      <c r="E42" s="558">
        <v>8008.9009999999998</v>
      </c>
      <c r="F42" s="558">
        <v>272.19600000000003</v>
      </c>
      <c r="G42" s="558">
        <v>0</v>
      </c>
      <c r="H42" s="558">
        <v>3896.0740000000001</v>
      </c>
      <c r="I42" s="558">
        <v>81.47</v>
      </c>
      <c r="J42" s="557">
        <f t="shared" si="1"/>
        <v>76.760999999999058</v>
      </c>
      <c r="K42" s="432">
        <v>31370.048999999999</v>
      </c>
      <c r="L42" s="579">
        <v>58</v>
      </c>
      <c r="M42" s="579">
        <v>0</v>
      </c>
      <c r="N42" s="554">
        <v>5415</v>
      </c>
      <c r="O42" s="579">
        <v>0</v>
      </c>
      <c r="P42" s="579">
        <v>6650</v>
      </c>
      <c r="Q42" s="558">
        <v>62067.6</v>
      </c>
      <c r="R42" s="560">
        <v>21.6</v>
      </c>
      <c r="S42" s="447">
        <f t="shared" si="3"/>
        <v>110016.38499999999</v>
      </c>
      <c r="T42" s="442">
        <f t="shared" si="2"/>
        <v>4.8999999999068677E-2</v>
      </c>
      <c r="U42" s="442"/>
      <c r="W42" s="427">
        <v>3682.4</v>
      </c>
    </row>
    <row r="43" spans="2:23" ht="15">
      <c r="B43" s="421" t="s">
        <v>359</v>
      </c>
      <c r="C43" s="436">
        <v>96866</v>
      </c>
      <c r="D43" s="556"/>
      <c r="E43" s="436">
        <v>94826.5</v>
      </c>
      <c r="F43" s="434">
        <v>1005.4</v>
      </c>
      <c r="G43" s="434">
        <v>55503.8</v>
      </c>
      <c r="H43" s="434">
        <v>30106.6</v>
      </c>
      <c r="I43" s="434">
        <v>59.5</v>
      </c>
      <c r="J43" s="434"/>
      <c r="K43" s="432" t="e">
        <f>#REF!+J43</f>
        <v>#REF!</v>
      </c>
      <c r="L43" s="576"/>
      <c r="M43" s="576">
        <v>0</v>
      </c>
      <c r="N43" s="576"/>
      <c r="O43" s="576"/>
      <c r="P43" s="434"/>
      <c r="Q43" s="436">
        <v>1734.8</v>
      </c>
      <c r="R43" s="437">
        <v>124.5</v>
      </c>
      <c r="S43" s="447" t="e">
        <f t="shared" si="3"/>
        <v>#REF!</v>
      </c>
      <c r="T43" s="442" t="e">
        <f t="shared" ref="T43:T51" si="4">S43-C43</f>
        <v>#REF!</v>
      </c>
      <c r="U43" s="442"/>
    </row>
    <row r="44" spans="2:23">
      <c r="B44" s="420" t="s">
        <v>360</v>
      </c>
      <c r="C44" s="434">
        <v>85428.3</v>
      </c>
      <c r="D44" s="555"/>
      <c r="E44" s="434">
        <v>85276</v>
      </c>
      <c r="F44" s="434">
        <v>1000.7</v>
      </c>
      <c r="G44" s="434">
        <v>55503.8</v>
      </c>
      <c r="H44" s="434">
        <v>28771.5</v>
      </c>
      <c r="I44" s="434"/>
      <c r="J44" s="434"/>
      <c r="K44" s="432" t="e">
        <f>#REF!+J44</f>
        <v>#REF!</v>
      </c>
      <c r="L44" s="575"/>
      <c r="M44" s="575">
        <v>0</v>
      </c>
      <c r="N44" s="575"/>
      <c r="O44" s="575"/>
      <c r="P44" s="434"/>
      <c r="Q44" s="434"/>
      <c r="R44" s="435"/>
      <c r="S44" s="447" t="e">
        <f t="shared" si="3"/>
        <v>#REF!</v>
      </c>
      <c r="T44" s="442" t="e">
        <f t="shared" si="4"/>
        <v>#REF!</v>
      </c>
      <c r="U44" s="442"/>
    </row>
    <row r="45" spans="2:23" ht="15">
      <c r="B45" s="419" t="s">
        <v>361</v>
      </c>
      <c r="C45" s="434">
        <v>1831.7</v>
      </c>
      <c r="D45" s="555"/>
      <c r="E45" s="434">
        <v>277.2</v>
      </c>
      <c r="F45" s="434"/>
      <c r="G45" s="434"/>
      <c r="H45" s="434">
        <v>264.5</v>
      </c>
      <c r="I45" s="434">
        <v>12.7</v>
      </c>
      <c r="J45" s="434"/>
      <c r="K45" s="432" t="e">
        <f>#REF!+J45</f>
        <v>#REF!</v>
      </c>
      <c r="L45" s="575"/>
      <c r="M45" s="575">
        <v>0</v>
      </c>
      <c r="N45" s="575"/>
      <c r="O45" s="575"/>
      <c r="P45" s="434"/>
      <c r="Q45" s="434">
        <v>1421.6</v>
      </c>
      <c r="R45" s="435">
        <v>124.5</v>
      </c>
      <c r="S45" s="447" t="e">
        <f t="shared" si="3"/>
        <v>#REF!</v>
      </c>
      <c r="T45" s="442" t="e">
        <f t="shared" si="4"/>
        <v>#REF!</v>
      </c>
      <c r="U45" s="442"/>
    </row>
    <row r="46" spans="2:23">
      <c r="B46" s="420" t="s">
        <v>362</v>
      </c>
      <c r="C46" s="434">
        <v>8159.7</v>
      </c>
      <c r="D46" s="555"/>
      <c r="E46" s="434">
        <v>8159.7</v>
      </c>
      <c r="F46" s="434"/>
      <c r="G46" s="434"/>
      <c r="H46" s="434">
        <v>8.5</v>
      </c>
      <c r="I46" s="434"/>
      <c r="J46" s="434"/>
      <c r="K46" s="432" t="e">
        <f>#REF!+J46</f>
        <v>#REF!</v>
      </c>
      <c r="L46" s="575"/>
      <c r="M46" s="575">
        <v>0</v>
      </c>
      <c r="N46" s="575"/>
      <c r="O46" s="575"/>
      <c r="P46" s="434"/>
      <c r="Q46" s="434"/>
      <c r="R46" s="435"/>
      <c r="S46" s="447" t="e">
        <f t="shared" si="3"/>
        <v>#REF!</v>
      </c>
      <c r="T46" s="442" t="e">
        <f t="shared" si="4"/>
        <v>#REF!</v>
      </c>
      <c r="U46" s="442"/>
    </row>
    <row r="47" spans="2:23">
      <c r="B47" s="420" t="s">
        <v>363</v>
      </c>
      <c r="C47" s="434">
        <v>1108.9000000000001</v>
      </c>
      <c r="D47" s="555"/>
      <c r="E47" s="434">
        <v>1108.9000000000001</v>
      </c>
      <c r="F47" s="434"/>
      <c r="G47" s="434"/>
      <c r="H47" s="434">
        <v>1062.0999999999999</v>
      </c>
      <c r="I47" s="434">
        <v>46.8</v>
      </c>
      <c r="J47" s="434"/>
      <c r="K47" s="432" t="e">
        <f>#REF!+J47</f>
        <v>#REF!</v>
      </c>
      <c r="L47" s="575"/>
      <c r="M47" s="575">
        <v>0</v>
      </c>
      <c r="N47" s="575"/>
      <c r="O47" s="575"/>
      <c r="P47" s="434"/>
      <c r="Q47" s="434"/>
      <c r="R47" s="435"/>
      <c r="S47" s="447" t="e">
        <f t="shared" si="3"/>
        <v>#REF!</v>
      </c>
      <c r="T47" s="442" t="e">
        <f t="shared" si="4"/>
        <v>#REF!</v>
      </c>
      <c r="U47" s="442"/>
    </row>
    <row r="48" spans="2:23">
      <c r="B48" s="438" t="s">
        <v>375</v>
      </c>
      <c r="C48" s="434">
        <v>337.4</v>
      </c>
      <c r="D48" s="555"/>
      <c r="E48" s="434">
        <v>4.7</v>
      </c>
      <c r="F48" s="434">
        <v>4.7</v>
      </c>
      <c r="G48" s="434"/>
      <c r="H48" s="434"/>
      <c r="I48" s="434"/>
      <c r="J48" s="434"/>
      <c r="K48" s="432" t="e">
        <f>#REF!+J48</f>
        <v>#REF!</v>
      </c>
      <c r="L48" s="575"/>
      <c r="M48" s="575">
        <v>0</v>
      </c>
      <c r="N48" s="575"/>
      <c r="O48" s="575"/>
      <c r="P48" s="434"/>
      <c r="Q48" s="434">
        <v>313.2</v>
      </c>
      <c r="R48" s="435"/>
      <c r="S48" s="447" t="e">
        <f t="shared" si="3"/>
        <v>#REF!</v>
      </c>
      <c r="T48" s="442" t="e">
        <f t="shared" si="4"/>
        <v>#REF!</v>
      </c>
      <c r="U48" s="442"/>
    </row>
    <row r="49" spans="2:21" ht="15">
      <c r="B49" s="422" t="s">
        <v>365</v>
      </c>
      <c r="C49" s="434" t="s">
        <v>324</v>
      </c>
      <c r="D49" s="555"/>
      <c r="E49" s="434" t="s">
        <v>324</v>
      </c>
      <c r="F49" s="434"/>
      <c r="G49" s="434"/>
      <c r="H49" s="434"/>
      <c r="I49" s="434"/>
      <c r="J49" s="434"/>
      <c r="K49" s="432" t="e">
        <f>#REF!+J49</f>
        <v>#REF!</v>
      </c>
      <c r="L49" s="575"/>
      <c r="M49" s="575">
        <v>0</v>
      </c>
      <c r="N49" s="575"/>
      <c r="O49" s="575"/>
      <c r="P49" s="434"/>
      <c r="Q49" s="434"/>
      <c r="R49" s="435"/>
      <c r="S49" s="447" t="e">
        <f t="shared" si="3"/>
        <v>#REF!</v>
      </c>
      <c r="T49" s="442" t="e">
        <f t="shared" si="4"/>
        <v>#REF!</v>
      </c>
      <c r="U49" s="442"/>
    </row>
    <row r="50" spans="2:21" ht="15">
      <c r="B50" s="421" t="s">
        <v>366</v>
      </c>
      <c r="C50" s="436">
        <v>191954.5</v>
      </c>
      <c r="D50" s="556"/>
      <c r="E50" s="436">
        <v>15028.6</v>
      </c>
      <c r="F50" s="434">
        <v>967.4</v>
      </c>
      <c r="G50" s="434">
        <v>462.2</v>
      </c>
      <c r="H50" s="434">
        <v>13466.5</v>
      </c>
      <c r="I50" s="434">
        <v>67.900000000000006</v>
      </c>
      <c r="J50" s="434"/>
      <c r="K50" s="432" t="e">
        <f>#REF!+J50</f>
        <v>#REF!</v>
      </c>
      <c r="L50" s="576"/>
      <c r="M50" s="576">
        <v>0</v>
      </c>
      <c r="N50" s="576"/>
      <c r="O50" s="576"/>
      <c r="P50" s="436">
        <v>5155.8999999999996</v>
      </c>
      <c r="Q50" s="436">
        <v>50307.1</v>
      </c>
      <c r="R50" s="437">
        <v>5.6</v>
      </c>
      <c r="S50" s="447" t="e">
        <f t="shared" si="3"/>
        <v>#REF!</v>
      </c>
      <c r="T50" s="442" t="e">
        <f t="shared" si="4"/>
        <v>#REF!</v>
      </c>
      <c r="U50" s="442"/>
    </row>
    <row r="51" spans="2:21" ht="15">
      <c r="B51" s="419" t="s">
        <v>367</v>
      </c>
      <c r="C51" s="557">
        <v>60755.800999999999</v>
      </c>
      <c r="D51" s="558">
        <v>0</v>
      </c>
      <c r="E51" s="557">
        <v>0</v>
      </c>
      <c r="F51" s="557">
        <v>0</v>
      </c>
      <c r="G51" s="557">
        <v>0</v>
      </c>
      <c r="H51" s="557">
        <v>0</v>
      </c>
      <c r="I51" s="557">
        <v>0</v>
      </c>
      <c r="J51" s="557">
        <f>E51-SUM(F51:I51)</f>
        <v>0</v>
      </c>
      <c r="K51" s="432">
        <v>13296.6</v>
      </c>
      <c r="L51" s="578">
        <v>22744</v>
      </c>
      <c r="M51" s="578">
        <v>354.80099999999999</v>
      </c>
      <c r="N51" s="553">
        <v>4379</v>
      </c>
      <c r="O51" s="578">
        <v>0</v>
      </c>
      <c r="P51" s="578">
        <v>0</v>
      </c>
      <c r="Q51" s="557">
        <v>19940.400000000001</v>
      </c>
      <c r="R51" s="559">
        <v>0</v>
      </c>
      <c r="S51" s="447">
        <f t="shared" si="3"/>
        <v>60714.800999999999</v>
      </c>
      <c r="T51" s="442">
        <f t="shared" si="4"/>
        <v>-41</v>
      </c>
      <c r="U51" s="442"/>
    </row>
    <row r="52" spans="2:21">
      <c r="B52" s="420" t="s">
        <v>368</v>
      </c>
      <c r="C52" s="434">
        <v>29320.1</v>
      </c>
      <c r="D52" s="555"/>
      <c r="E52" s="434">
        <v>432.6</v>
      </c>
      <c r="F52" s="434">
        <v>99.6</v>
      </c>
      <c r="G52" s="434"/>
      <c r="H52" s="434">
        <v>226.1</v>
      </c>
      <c r="I52" s="434">
        <v>55.2</v>
      </c>
      <c r="J52" s="434"/>
      <c r="K52" s="432" t="e">
        <f>#REF!+J52</f>
        <v>#REF!</v>
      </c>
      <c r="L52" s="575"/>
      <c r="M52" s="575">
        <v>0</v>
      </c>
      <c r="N52" s="575"/>
      <c r="O52" s="575"/>
      <c r="P52" s="434">
        <v>891</v>
      </c>
      <c r="Q52" s="434">
        <v>18479.5</v>
      </c>
      <c r="R52" s="435">
        <v>2.8</v>
      </c>
      <c r="S52" s="447" t="e">
        <f t="shared" si="3"/>
        <v>#REF!</v>
      </c>
      <c r="U52" s="442"/>
    </row>
    <row r="53" spans="2:21">
      <c r="B53" s="420" t="s">
        <v>369</v>
      </c>
      <c r="C53" s="434">
        <v>143830.79999999999</v>
      </c>
      <c r="D53" s="555"/>
      <c r="E53" s="434">
        <v>1298.5</v>
      </c>
      <c r="F53" s="434">
        <v>863.1</v>
      </c>
      <c r="G53" s="434">
        <v>17.3</v>
      </c>
      <c r="H53" s="434">
        <v>405.2</v>
      </c>
      <c r="I53" s="434"/>
      <c r="J53" s="434"/>
      <c r="K53" s="432" t="e">
        <f>#REF!+J53</f>
        <v>#REF!</v>
      </c>
      <c r="L53" s="575"/>
      <c r="M53" s="575">
        <v>0</v>
      </c>
      <c r="N53" s="575"/>
      <c r="O53" s="575"/>
      <c r="P53" s="434">
        <v>4264.8999999999996</v>
      </c>
      <c r="Q53" s="434">
        <v>28576.400000000001</v>
      </c>
      <c r="R53" s="435"/>
      <c r="S53" s="447" t="e">
        <f t="shared" si="3"/>
        <v>#REF!</v>
      </c>
      <c r="U53" s="442"/>
    </row>
    <row r="54" spans="2:21">
      <c r="B54" s="420" t="s">
        <v>370</v>
      </c>
      <c r="C54" s="434" t="s">
        <v>324</v>
      </c>
      <c r="D54" s="555"/>
      <c r="E54" s="434" t="s">
        <v>324</v>
      </c>
      <c r="F54" s="434"/>
      <c r="G54" s="434"/>
      <c r="H54" s="434"/>
      <c r="I54" s="434"/>
      <c r="J54" s="434"/>
      <c r="K54" s="432" t="e">
        <f>#REF!+J54</f>
        <v>#REF!</v>
      </c>
      <c r="L54" s="575"/>
      <c r="M54" s="575">
        <v>0</v>
      </c>
      <c r="N54" s="575"/>
      <c r="O54" s="575"/>
      <c r="P54" s="434"/>
      <c r="Q54" s="434"/>
      <c r="R54" s="435"/>
      <c r="S54" s="447" t="e">
        <f t="shared" si="3"/>
        <v>#REF!</v>
      </c>
      <c r="U54" s="442"/>
    </row>
    <row r="55" spans="2:21" ht="16" thickBot="1">
      <c r="B55" s="423" t="s">
        <v>371</v>
      </c>
      <c r="C55" s="439">
        <v>36357.300000000003</v>
      </c>
      <c r="D55" s="439"/>
      <c r="E55" s="439">
        <v>34325.800000000003</v>
      </c>
      <c r="F55" s="440">
        <v>5112.3999999999996</v>
      </c>
      <c r="G55" s="440"/>
      <c r="H55" s="440">
        <v>76.8</v>
      </c>
      <c r="I55" s="440">
        <v>85</v>
      </c>
      <c r="J55" s="440">
        <v>21621.200000000001</v>
      </c>
      <c r="K55" s="432" t="e">
        <f>#REF!+J55</f>
        <v>#REF!</v>
      </c>
      <c r="L55" s="439"/>
      <c r="M55" s="439">
        <v>0</v>
      </c>
      <c r="N55" s="439"/>
      <c r="O55" s="439"/>
      <c r="P55" s="440"/>
      <c r="Q55" s="440"/>
      <c r="R55" s="441">
        <v>633.20000000000005</v>
      </c>
      <c r="S55" s="447" t="e">
        <f t="shared" si="3"/>
        <v>#REF!</v>
      </c>
      <c r="U55" s="442"/>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09D0-1C05-2A43-8D82-229CDE6E3AF0}">
  <dimension ref="A1:W55"/>
  <sheetViews>
    <sheetView showGridLines="0" zoomScaleNormal="100" workbookViewId="0">
      <pane xSplit="3" ySplit="5" topLeftCell="K30" activePane="bottomRight" state="frozen"/>
      <selection activeCell="J33" sqref="J33"/>
      <selection pane="topRight" activeCell="J33" sqref="J33"/>
      <selection pane="bottomLeft" activeCell="J33" sqref="J33"/>
      <selection pane="bottomRight" activeCell="T46" sqref="T46"/>
    </sheetView>
  </sheetViews>
  <sheetFormatPr baseColWidth="10" defaultColWidth="9.1640625" defaultRowHeight="14"/>
  <cols>
    <col min="1" max="1" width="8.6640625" style="427" bestFit="1" customWidth="1"/>
    <col min="2" max="2" width="31.5" style="427" bestFit="1" customWidth="1"/>
    <col min="3" max="18" width="11.6640625" style="427" customWidth="1"/>
    <col min="19" max="19" width="12.6640625" style="400" customWidth="1"/>
    <col min="20" max="251" width="9.1640625" style="427"/>
    <col min="252" max="252" width="8.6640625" style="427" bestFit="1" customWidth="1"/>
    <col min="253" max="253" width="31.5" style="427" bestFit="1" customWidth="1"/>
    <col min="254" max="271" width="11.6640625" style="427" customWidth="1"/>
    <col min="272" max="507" width="9.1640625" style="427"/>
    <col min="508" max="508" width="8.6640625" style="427" bestFit="1" customWidth="1"/>
    <col min="509" max="509" width="31.5" style="427" bestFit="1" customWidth="1"/>
    <col min="510" max="527" width="11.6640625" style="427" customWidth="1"/>
    <col min="528" max="763" width="9.1640625" style="427"/>
    <col min="764" max="764" width="8.6640625" style="427" bestFit="1" customWidth="1"/>
    <col min="765" max="765" width="31.5" style="427" bestFit="1" customWidth="1"/>
    <col min="766" max="783" width="11.6640625" style="427" customWidth="1"/>
    <col min="784" max="1019" width="9.1640625" style="427"/>
    <col min="1020" max="1020" width="8.6640625" style="427" bestFit="1" customWidth="1"/>
    <col min="1021" max="1021" width="31.5" style="427" bestFit="1" customWidth="1"/>
    <col min="1022" max="1039" width="11.6640625" style="427" customWidth="1"/>
    <col min="1040" max="1275" width="9.1640625" style="427"/>
    <col min="1276" max="1276" width="8.6640625" style="427" bestFit="1" customWidth="1"/>
    <col min="1277" max="1277" width="31.5" style="427" bestFit="1" customWidth="1"/>
    <col min="1278" max="1295" width="11.6640625" style="427" customWidth="1"/>
    <col min="1296" max="1531" width="9.1640625" style="427"/>
    <col min="1532" max="1532" width="8.6640625" style="427" bestFit="1" customWidth="1"/>
    <col min="1533" max="1533" width="31.5" style="427" bestFit="1" customWidth="1"/>
    <col min="1534" max="1551" width="11.6640625" style="427" customWidth="1"/>
    <col min="1552" max="1787" width="9.1640625" style="427"/>
    <col min="1788" max="1788" width="8.6640625" style="427" bestFit="1" customWidth="1"/>
    <col min="1789" max="1789" width="31.5" style="427" bestFit="1" customWidth="1"/>
    <col min="1790" max="1807" width="11.6640625" style="427" customWidth="1"/>
    <col min="1808" max="2043" width="9.1640625" style="427"/>
    <col min="2044" max="2044" width="8.6640625" style="427" bestFit="1" customWidth="1"/>
    <col min="2045" max="2045" width="31.5" style="427" bestFit="1" customWidth="1"/>
    <col min="2046" max="2063" width="11.6640625" style="427" customWidth="1"/>
    <col min="2064" max="2299" width="9.1640625" style="427"/>
    <col min="2300" max="2300" width="8.6640625" style="427" bestFit="1" customWidth="1"/>
    <col min="2301" max="2301" width="31.5" style="427" bestFit="1" customWidth="1"/>
    <col min="2302" max="2319" width="11.6640625" style="427" customWidth="1"/>
    <col min="2320" max="2555" width="9.1640625" style="427"/>
    <col min="2556" max="2556" width="8.6640625" style="427" bestFit="1" customWidth="1"/>
    <col min="2557" max="2557" width="31.5" style="427" bestFit="1" customWidth="1"/>
    <col min="2558" max="2575" width="11.6640625" style="427" customWidth="1"/>
    <col min="2576" max="2811" width="9.1640625" style="427"/>
    <col min="2812" max="2812" width="8.6640625" style="427" bestFit="1" customWidth="1"/>
    <col min="2813" max="2813" width="31.5" style="427" bestFit="1" customWidth="1"/>
    <col min="2814" max="2831" width="11.6640625" style="427" customWidth="1"/>
    <col min="2832" max="3067" width="9.1640625" style="427"/>
    <col min="3068" max="3068" width="8.6640625" style="427" bestFit="1" customWidth="1"/>
    <col min="3069" max="3069" width="31.5" style="427" bestFit="1" customWidth="1"/>
    <col min="3070" max="3087" width="11.6640625" style="427" customWidth="1"/>
    <col min="3088" max="3323" width="9.1640625" style="427"/>
    <col min="3324" max="3324" width="8.6640625" style="427" bestFit="1" customWidth="1"/>
    <col min="3325" max="3325" width="31.5" style="427" bestFit="1" customWidth="1"/>
    <col min="3326" max="3343" width="11.6640625" style="427" customWidth="1"/>
    <col min="3344" max="3579" width="9.1640625" style="427"/>
    <col min="3580" max="3580" width="8.6640625" style="427" bestFit="1" customWidth="1"/>
    <col min="3581" max="3581" width="31.5" style="427" bestFit="1" customWidth="1"/>
    <col min="3582" max="3599" width="11.6640625" style="427" customWidth="1"/>
    <col min="3600" max="3835" width="9.1640625" style="427"/>
    <col min="3836" max="3836" width="8.6640625" style="427" bestFit="1" customWidth="1"/>
    <col min="3837" max="3837" width="31.5" style="427" bestFit="1" customWidth="1"/>
    <col min="3838" max="3855" width="11.6640625" style="427" customWidth="1"/>
    <col min="3856" max="4091" width="9.1640625" style="427"/>
    <col min="4092" max="4092" width="8.6640625" style="427" bestFit="1" customWidth="1"/>
    <col min="4093" max="4093" width="31.5" style="427" bestFit="1" customWidth="1"/>
    <col min="4094" max="4111" width="11.6640625" style="427" customWidth="1"/>
    <col min="4112" max="4347" width="9.1640625" style="427"/>
    <col min="4348" max="4348" width="8.6640625" style="427" bestFit="1" customWidth="1"/>
    <col min="4349" max="4349" width="31.5" style="427" bestFit="1" customWidth="1"/>
    <col min="4350" max="4367" width="11.6640625" style="427" customWidth="1"/>
    <col min="4368" max="4603" width="9.1640625" style="427"/>
    <col min="4604" max="4604" width="8.6640625" style="427" bestFit="1" customWidth="1"/>
    <col min="4605" max="4605" width="31.5" style="427" bestFit="1" customWidth="1"/>
    <col min="4606" max="4623" width="11.6640625" style="427" customWidth="1"/>
    <col min="4624" max="4859" width="9.1640625" style="427"/>
    <col min="4860" max="4860" width="8.6640625" style="427" bestFit="1" customWidth="1"/>
    <col min="4861" max="4861" width="31.5" style="427" bestFit="1" customWidth="1"/>
    <col min="4862" max="4879" width="11.6640625" style="427" customWidth="1"/>
    <col min="4880" max="5115" width="9.1640625" style="427"/>
    <col min="5116" max="5116" width="8.6640625" style="427" bestFit="1" customWidth="1"/>
    <col min="5117" max="5117" width="31.5" style="427" bestFit="1" customWidth="1"/>
    <col min="5118" max="5135" width="11.6640625" style="427" customWidth="1"/>
    <col min="5136" max="5371" width="9.1640625" style="427"/>
    <col min="5372" max="5372" width="8.6640625" style="427" bestFit="1" customWidth="1"/>
    <col min="5373" max="5373" width="31.5" style="427" bestFit="1" customWidth="1"/>
    <col min="5374" max="5391" width="11.6640625" style="427" customWidth="1"/>
    <col min="5392" max="5627" width="9.1640625" style="427"/>
    <col min="5628" max="5628" width="8.6640625" style="427" bestFit="1" customWidth="1"/>
    <col min="5629" max="5629" width="31.5" style="427" bestFit="1" customWidth="1"/>
    <col min="5630" max="5647" width="11.6640625" style="427" customWidth="1"/>
    <col min="5648" max="5883" width="9.1640625" style="427"/>
    <col min="5884" max="5884" width="8.6640625" style="427" bestFit="1" customWidth="1"/>
    <col min="5885" max="5885" width="31.5" style="427" bestFit="1" customWidth="1"/>
    <col min="5886" max="5903" width="11.6640625" style="427" customWidth="1"/>
    <col min="5904" max="6139" width="9.1640625" style="427"/>
    <col min="6140" max="6140" width="8.6640625" style="427" bestFit="1" customWidth="1"/>
    <col min="6141" max="6141" width="31.5" style="427" bestFit="1" customWidth="1"/>
    <col min="6142" max="6159" width="11.6640625" style="427" customWidth="1"/>
    <col min="6160" max="6395" width="9.1640625" style="427"/>
    <col min="6396" max="6396" width="8.6640625" style="427" bestFit="1" customWidth="1"/>
    <col min="6397" max="6397" width="31.5" style="427" bestFit="1" customWidth="1"/>
    <col min="6398" max="6415" width="11.6640625" style="427" customWidth="1"/>
    <col min="6416" max="6651" width="9.1640625" style="427"/>
    <col min="6652" max="6652" width="8.6640625" style="427" bestFit="1" customWidth="1"/>
    <col min="6653" max="6653" width="31.5" style="427" bestFit="1" customWidth="1"/>
    <col min="6654" max="6671" width="11.6640625" style="427" customWidth="1"/>
    <col min="6672" max="6907" width="9.1640625" style="427"/>
    <col min="6908" max="6908" width="8.6640625" style="427" bestFit="1" customWidth="1"/>
    <col min="6909" max="6909" width="31.5" style="427" bestFit="1" customWidth="1"/>
    <col min="6910" max="6927" width="11.6640625" style="427" customWidth="1"/>
    <col min="6928" max="7163" width="9.1640625" style="427"/>
    <col min="7164" max="7164" width="8.6640625" style="427" bestFit="1" customWidth="1"/>
    <col min="7165" max="7165" width="31.5" style="427" bestFit="1" customWidth="1"/>
    <col min="7166" max="7183" width="11.6640625" style="427" customWidth="1"/>
    <col min="7184" max="7419" width="9.1640625" style="427"/>
    <col min="7420" max="7420" width="8.6640625" style="427" bestFit="1" customWidth="1"/>
    <col min="7421" max="7421" width="31.5" style="427" bestFit="1" customWidth="1"/>
    <col min="7422" max="7439" width="11.6640625" style="427" customWidth="1"/>
    <col min="7440" max="7675" width="9.1640625" style="427"/>
    <col min="7676" max="7676" width="8.6640625" style="427" bestFit="1" customWidth="1"/>
    <col min="7677" max="7677" width="31.5" style="427" bestFit="1" customWidth="1"/>
    <col min="7678" max="7695" width="11.6640625" style="427" customWidth="1"/>
    <col min="7696" max="7931" width="9.1640625" style="427"/>
    <col min="7932" max="7932" width="8.6640625" style="427" bestFit="1" customWidth="1"/>
    <col min="7933" max="7933" width="31.5" style="427" bestFit="1" customWidth="1"/>
    <col min="7934" max="7951" width="11.6640625" style="427" customWidth="1"/>
    <col min="7952" max="8187" width="9.1640625" style="427"/>
    <col min="8188" max="8188" width="8.6640625" style="427" bestFit="1" customWidth="1"/>
    <col min="8189" max="8189" width="31.5" style="427" bestFit="1" customWidth="1"/>
    <col min="8190" max="8207" width="11.6640625" style="427" customWidth="1"/>
    <col min="8208" max="8443" width="9.1640625" style="427"/>
    <col min="8444" max="8444" width="8.6640625" style="427" bestFit="1" customWidth="1"/>
    <col min="8445" max="8445" width="31.5" style="427" bestFit="1" customWidth="1"/>
    <col min="8446" max="8463" width="11.6640625" style="427" customWidth="1"/>
    <col min="8464" max="8699" width="9.1640625" style="427"/>
    <col min="8700" max="8700" width="8.6640625" style="427" bestFit="1" customWidth="1"/>
    <col min="8701" max="8701" width="31.5" style="427" bestFit="1" customWidth="1"/>
    <col min="8702" max="8719" width="11.6640625" style="427" customWidth="1"/>
    <col min="8720" max="8955" width="9.1640625" style="427"/>
    <col min="8956" max="8956" width="8.6640625" style="427" bestFit="1" customWidth="1"/>
    <col min="8957" max="8957" width="31.5" style="427" bestFit="1" customWidth="1"/>
    <col min="8958" max="8975" width="11.6640625" style="427" customWidth="1"/>
    <col min="8976" max="9211" width="9.1640625" style="427"/>
    <col min="9212" max="9212" width="8.6640625" style="427" bestFit="1" customWidth="1"/>
    <col min="9213" max="9213" width="31.5" style="427" bestFit="1" customWidth="1"/>
    <col min="9214" max="9231" width="11.6640625" style="427" customWidth="1"/>
    <col min="9232" max="9467" width="9.1640625" style="427"/>
    <col min="9468" max="9468" width="8.6640625" style="427" bestFit="1" customWidth="1"/>
    <col min="9469" max="9469" width="31.5" style="427" bestFit="1" customWidth="1"/>
    <col min="9470" max="9487" width="11.6640625" style="427" customWidth="1"/>
    <col min="9488" max="9723" width="9.1640625" style="427"/>
    <col min="9724" max="9724" width="8.6640625" style="427" bestFit="1" customWidth="1"/>
    <col min="9725" max="9725" width="31.5" style="427" bestFit="1" customWidth="1"/>
    <col min="9726" max="9743" width="11.6640625" style="427" customWidth="1"/>
    <col min="9744" max="9979" width="9.1640625" style="427"/>
    <col min="9980" max="9980" width="8.6640625" style="427" bestFit="1" customWidth="1"/>
    <col min="9981" max="9981" width="31.5" style="427" bestFit="1" customWidth="1"/>
    <col min="9982" max="9999" width="11.6640625" style="427" customWidth="1"/>
    <col min="10000" max="10235" width="9.1640625" style="427"/>
    <col min="10236" max="10236" width="8.6640625" style="427" bestFit="1" customWidth="1"/>
    <col min="10237" max="10237" width="31.5" style="427" bestFit="1" customWidth="1"/>
    <col min="10238" max="10255" width="11.6640625" style="427" customWidth="1"/>
    <col min="10256" max="10491" width="9.1640625" style="427"/>
    <col min="10492" max="10492" width="8.6640625" style="427" bestFit="1" customWidth="1"/>
    <col min="10493" max="10493" width="31.5" style="427" bestFit="1" customWidth="1"/>
    <col min="10494" max="10511" width="11.6640625" style="427" customWidth="1"/>
    <col min="10512" max="10747" width="9.1640625" style="427"/>
    <col min="10748" max="10748" width="8.6640625" style="427" bestFit="1" customWidth="1"/>
    <col min="10749" max="10749" width="31.5" style="427" bestFit="1" customWidth="1"/>
    <col min="10750" max="10767" width="11.6640625" style="427" customWidth="1"/>
    <col min="10768" max="11003" width="9.1640625" style="427"/>
    <col min="11004" max="11004" width="8.6640625" style="427" bestFit="1" customWidth="1"/>
    <col min="11005" max="11005" width="31.5" style="427" bestFit="1" customWidth="1"/>
    <col min="11006" max="11023" width="11.6640625" style="427" customWidth="1"/>
    <col min="11024" max="11259" width="9.1640625" style="427"/>
    <col min="11260" max="11260" width="8.6640625" style="427" bestFit="1" customWidth="1"/>
    <col min="11261" max="11261" width="31.5" style="427" bestFit="1" customWidth="1"/>
    <col min="11262" max="11279" width="11.6640625" style="427" customWidth="1"/>
    <col min="11280" max="11515" width="9.1640625" style="427"/>
    <col min="11516" max="11516" width="8.6640625" style="427" bestFit="1" customWidth="1"/>
    <col min="11517" max="11517" width="31.5" style="427" bestFit="1" customWidth="1"/>
    <col min="11518" max="11535" width="11.6640625" style="427" customWidth="1"/>
    <col min="11536" max="11771" width="9.1640625" style="427"/>
    <col min="11772" max="11772" width="8.6640625" style="427" bestFit="1" customWidth="1"/>
    <col min="11773" max="11773" width="31.5" style="427" bestFit="1" customWidth="1"/>
    <col min="11774" max="11791" width="11.6640625" style="427" customWidth="1"/>
    <col min="11792" max="12027" width="9.1640625" style="427"/>
    <col min="12028" max="12028" width="8.6640625" style="427" bestFit="1" customWidth="1"/>
    <col min="12029" max="12029" width="31.5" style="427" bestFit="1" customWidth="1"/>
    <col min="12030" max="12047" width="11.6640625" style="427" customWidth="1"/>
    <col min="12048" max="12283" width="9.1640625" style="427"/>
    <col min="12284" max="12284" width="8.6640625" style="427" bestFit="1" customWidth="1"/>
    <col min="12285" max="12285" width="31.5" style="427" bestFit="1" customWidth="1"/>
    <col min="12286" max="12303" width="11.6640625" style="427" customWidth="1"/>
    <col min="12304" max="12539" width="9.1640625" style="427"/>
    <col min="12540" max="12540" width="8.6640625" style="427" bestFit="1" customWidth="1"/>
    <col min="12541" max="12541" width="31.5" style="427" bestFit="1" customWidth="1"/>
    <col min="12542" max="12559" width="11.6640625" style="427" customWidth="1"/>
    <col min="12560" max="12795" width="9.1640625" style="427"/>
    <col min="12796" max="12796" width="8.6640625" style="427" bestFit="1" customWidth="1"/>
    <col min="12797" max="12797" width="31.5" style="427" bestFit="1" customWidth="1"/>
    <col min="12798" max="12815" width="11.6640625" style="427" customWidth="1"/>
    <col min="12816" max="13051" width="9.1640625" style="427"/>
    <col min="13052" max="13052" width="8.6640625" style="427" bestFit="1" customWidth="1"/>
    <col min="13053" max="13053" width="31.5" style="427" bestFit="1" customWidth="1"/>
    <col min="13054" max="13071" width="11.6640625" style="427" customWidth="1"/>
    <col min="13072" max="13307" width="9.1640625" style="427"/>
    <col min="13308" max="13308" width="8.6640625" style="427" bestFit="1" customWidth="1"/>
    <col min="13309" max="13309" width="31.5" style="427" bestFit="1" customWidth="1"/>
    <col min="13310" max="13327" width="11.6640625" style="427" customWidth="1"/>
    <col min="13328" max="13563" width="9.1640625" style="427"/>
    <col min="13564" max="13564" width="8.6640625" style="427" bestFit="1" customWidth="1"/>
    <col min="13565" max="13565" width="31.5" style="427" bestFit="1" customWidth="1"/>
    <col min="13566" max="13583" width="11.6640625" style="427" customWidth="1"/>
    <col min="13584" max="13819" width="9.1640625" style="427"/>
    <col min="13820" max="13820" width="8.6640625" style="427" bestFit="1" customWidth="1"/>
    <col min="13821" max="13821" width="31.5" style="427" bestFit="1" customWidth="1"/>
    <col min="13822" max="13839" width="11.6640625" style="427" customWidth="1"/>
    <col min="13840" max="14075" width="9.1640625" style="427"/>
    <col min="14076" max="14076" width="8.6640625" style="427" bestFit="1" customWidth="1"/>
    <col min="14077" max="14077" width="31.5" style="427" bestFit="1" customWidth="1"/>
    <col min="14078" max="14095" width="11.6640625" style="427" customWidth="1"/>
    <col min="14096" max="14331" width="9.1640625" style="427"/>
    <col min="14332" max="14332" width="8.6640625" style="427" bestFit="1" customWidth="1"/>
    <col min="14333" max="14333" width="31.5" style="427" bestFit="1" customWidth="1"/>
    <col min="14334" max="14351" width="11.6640625" style="427" customWidth="1"/>
    <col min="14352" max="14587" width="9.1640625" style="427"/>
    <col min="14588" max="14588" width="8.6640625" style="427" bestFit="1" customWidth="1"/>
    <col min="14589" max="14589" width="31.5" style="427" bestFit="1" customWidth="1"/>
    <col min="14590" max="14607" width="11.6640625" style="427" customWidth="1"/>
    <col min="14608" max="14843" width="9.1640625" style="427"/>
    <col min="14844" max="14844" width="8.6640625" style="427" bestFit="1" customWidth="1"/>
    <col min="14845" max="14845" width="31.5" style="427" bestFit="1" customWidth="1"/>
    <col min="14846" max="14863" width="11.6640625" style="427" customWidth="1"/>
    <col min="14864" max="15099" width="9.1640625" style="427"/>
    <col min="15100" max="15100" width="8.6640625" style="427" bestFit="1" customWidth="1"/>
    <col min="15101" max="15101" width="31.5" style="427" bestFit="1" customWidth="1"/>
    <col min="15102" max="15119" width="11.6640625" style="427" customWidth="1"/>
    <col min="15120" max="15355" width="9.1640625" style="427"/>
    <col min="15356" max="15356" width="8.6640625" style="427" bestFit="1" customWidth="1"/>
    <col min="15357" max="15357" width="31.5" style="427" bestFit="1" customWidth="1"/>
    <col min="15358" max="15375" width="11.6640625" style="427" customWidth="1"/>
    <col min="15376" max="15611" width="9.1640625" style="427"/>
    <col min="15612" max="15612" width="8.6640625" style="427" bestFit="1" customWidth="1"/>
    <col min="15613" max="15613" width="31.5" style="427" bestFit="1" customWidth="1"/>
    <col min="15614" max="15631" width="11.6640625" style="427" customWidth="1"/>
    <col min="15632" max="15867" width="9.1640625" style="427"/>
    <col min="15868" max="15868" width="8.6640625" style="427" bestFit="1" customWidth="1"/>
    <col min="15869" max="15869" width="31.5" style="427" bestFit="1" customWidth="1"/>
    <col min="15870" max="15887" width="11.6640625" style="427" customWidth="1"/>
    <col min="15888" max="16123" width="9.1640625" style="427"/>
    <col min="16124" max="16124" width="8.6640625" style="427" bestFit="1" customWidth="1"/>
    <col min="16125" max="16125" width="31.5" style="427" bestFit="1" customWidth="1"/>
    <col min="16126" max="16143" width="11.6640625" style="427" customWidth="1"/>
    <col min="16144" max="16384" width="9.1640625" style="427"/>
  </cols>
  <sheetData>
    <row r="1" spans="2:23" s="400" customFormat="1" ht="46" thickBot="1">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2:23">
      <c r="B2" s="624" t="s">
        <v>424</v>
      </c>
      <c r="C2" s="624"/>
      <c r="D2" s="624"/>
      <c r="E2" s="624"/>
      <c r="F2" s="624"/>
      <c r="G2" s="624"/>
      <c r="H2" s="624"/>
      <c r="I2" s="624"/>
      <c r="J2" s="624"/>
      <c r="K2" s="624"/>
      <c r="L2" s="624"/>
      <c r="M2" s="624"/>
      <c r="N2" s="624"/>
      <c r="O2" s="624"/>
      <c r="P2" s="624"/>
      <c r="Q2" s="624"/>
      <c r="R2" s="624"/>
    </row>
    <row r="3" spans="2:23" ht="15" thickBot="1">
      <c r="B3" s="625" t="s">
        <v>311</v>
      </c>
      <c r="C3" s="625"/>
      <c r="D3" s="625"/>
      <c r="E3" s="625"/>
      <c r="F3" s="625"/>
      <c r="G3" s="625"/>
      <c r="H3" s="625"/>
      <c r="I3" s="625"/>
      <c r="J3" s="625"/>
      <c r="K3" s="625"/>
      <c r="L3" s="625"/>
      <c r="M3" s="625"/>
      <c r="N3" s="625"/>
      <c r="O3" s="625"/>
      <c r="P3" s="625"/>
      <c r="Q3" s="625"/>
      <c r="R3" s="625"/>
      <c r="S3" s="401"/>
    </row>
    <row r="4" spans="2:23" s="443" customFormat="1" ht="18.75" customHeight="1">
      <c r="B4" s="638"/>
      <c r="C4" s="634" t="s">
        <v>312</v>
      </c>
      <c r="D4" s="569"/>
      <c r="E4" s="634" t="s">
        <v>313</v>
      </c>
      <c r="F4" s="605"/>
      <c r="G4" s="605"/>
      <c r="H4" s="605"/>
      <c r="I4" s="605"/>
      <c r="J4" s="606"/>
      <c r="K4" s="634" t="s">
        <v>314</v>
      </c>
      <c r="P4" s="634" t="s">
        <v>316</v>
      </c>
      <c r="Q4" s="634" t="s">
        <v>317</v>
      </c>
      <c r="R4" s="636" t="s">
        <v>430</v>
      </c>
      <c r="S4" s="636" t="s">
        <v>57</v>
      </c>
    </row>
    <row r="5" spans="2:23" s="401" customFormat="1" ht="50.25" customHeight="1" thickBot="1">
      <c r="B5" s="639"/>
      <c r="C5" s="635"/>
      <c r="D5" s="570" t="s">
        <v>429</v>
      </c>
      <c r="E5" s="635"/>
      <c r="F5" s="571" t="s">
        <v>318</v>
      </c>
      <c r="G5" s="571" t="s">
        <v>319</v>
      </c>
      <c r="H5" s="571" t="s">
        <v>320</v>
      </c>
      <c r="I5" s="568" t="s">
        <v>374</v>
      </c>
      <c r="J5" s="571" t="s">
        <v>322</v>
      </c>
      <c r="K5" s="635"/>
      <c r="L5" s="580" t="s">
        <v>77</v>
      </c>
      <c r="M5" s="580" t="s">
        <v>433</v>
      </c>
      <c r="N5" s="580" t="s">
        <v>78</v>
      </c>
      <c r="O5" s="580" t="s">
        <v>80</v>
      </c>
      <c r="P5" s="635"/>
      <c r="Q5" s="635"/>
      <c r="R5" s="637"/>
      <c r="S5" s="637"/>
      <c r="W5" s="401" t="s">
        <v>438</v>
      </c>
    </row>
    <row r="6" spans="2:23" ht="15">
      <c r="B6" s="403" t="s">
        <v>323</v>
      </c>
      <c r="C6" s="581">
        <v>2584672.0999999996</v>
      </c>
      <c r="D6" s="581"/>
      <c r="E6" s="581" t="s">
        <v>324</v>
      </c>
      <c r="F6" s="581" t="s">
        <v>324</v>
      </c>
      <c r="G6" s="581" t="s">
        <v>324</v>
      </c>
      <c r="H6" s="581" t="s">
        <v>324</v>
      </c>
      <c r="I6" s="581" t="s">
        <v>324</v>
      </c>
      <c r="J6" s="581" t="s">
        <v>324</v>
      </c>
      <c r="K6" s="581" t="e">
        <f>#REF!+J6</f>
        <v>#REF!</v>
      </c>
      <c r="L6" s="581"/>
      <c r="M6" s="581">
        <v>0</v>
      </c>
      <c r="N6" s="581"/>
      <c r="O6" s="581"/>
      <c r="P6" s="581" t="s">
        <v>324</v>
      </c>
      <c r="Q6" s="581" t="s">
        <v>324</v>
      </c>
      <c r="R6" s="582" t="s">
        <v>324</v>
      </c>
      <c r="S6" s="447" t="e">
        <f t="shared" ref="S6:S37" si="0">SUM(F6:R6)+D6</f>
        <v>#REF!</v>
      </c>
      <c r="U6" s="442"/>
    </row>
    <row r="7" spans="2:23">
      <c r="B7" s="406" t="s">
        <v>325</v>
      </c>
      <c r="C7" s="583">
        <v>12678.1</v>
      </c>
      <c r="D7" s="583"/>
      <c r="E7" s="583">
        <v>11999.1</v>
      </c>
      <c r="F7" s="583">
        <v>52.1</v>
      </c>
      <c r="G7" s="583">
        <v>7343.5</v>
      </c>
      <c r="H7" s="583">
        <v>21.3</v>
      </c>
      <c r="I7" s="583" t="s">
        <v>324</v>
      </c>
      <c r="J7" s="583">
        <v>1504.7</v>
      </c>
      <c r="K7" s="581" t="e">
        <f>#REF!+J7</f>
        <v>#REF!</v>
      </c>
      <c r="L7" s="583"/>
      <c r="M7" s="583">
        <v>0</v>
      </c>
      <c r="N7" s="583"/>
      <c r="O7" s="583"/>
      <c r="P7" s="583" t="s">
        <v>324</v>
      </c>
      <c r="Q7" s="583">
        <v>492.8</v>
      </c>
      <c r="R7" s="584">
        <v>186.2</v>
      </c>
      <c r="S7" s="447" t="e">
        <f t="shared" si="0"/>
        <v>#REF!</v>
      </c>
      <c r="U7" s="442"/>
    </row>
    <row r="8" spans="2:23">
      <c r="B8" s="406" t="s">
        <v>326</v>
      </c>
      <c r="C8" s="583">
        <v>-1861834.3</v>
      </c>
      <c r="D8" s="583"/>
      <c r="E8" s="583">
        <v>-48099.7</v>
      </c>
      <c r="F8" s="583">
        <v>-2499.3000000000002</v>
      </c>
      <c r="G8" s="583" t="s">
        <v>324</v>
      </c>
      <c r="H8" s="583">
        <v>-32461.200000000001</v>
      </c>
      <c r="I8" s="583">
        <v>-8.5</v>
      </c>
      <c r="J8" s="583">
        <v>-7471.6</v>
      </c>
      <c r="K8" s="581" t="e">
        <f>#REF!+J8</f>
        <v>#REF!</v>
      </c>
      <c r="L8" s="583"/>
      <c r="M8" s="583">
        <v>0</v>
      </c>
      <c r="N8" s="583"/>
      <c r="O8" s="583"/>
      <c r="P8" s="583" t="s">
        <v>324</v>
      </c>
      <c r="Q8" s="583">
        <v>-5367.2</v>
      </c>
      <c r="R8" s="584" t="s">
        <v>324</v>
      </c>
      <c r="S8" s="447" t="e">
        <f t="shared" si="0"/>
        <v>#REF!</v>
      </c>
      <c r="U8" s="442"/>
    </row>
    <row r="9" spans="2:23" ht="15">
      <c r="B9" s="409" t="s">
        <v>327</v>
      </c>
      <c r="C9" s="583">
        <v>-14818.8</v>
      </c>
      <c r="D9" s="583"/>
      <c r="E9" s="583">
        <v>-14818.8</v>
      </c>
      <c r="F9" s="583" t="s">
        <v>324</v>
      </c>
      <c r="G9" s="583" t="s">
        <v>324</v>
      </c>
      <c r="H9" s="583">
        <v>-1305.3</v>
      </c>
      <c r="I9" s="583" t="s">
        <v>324</v>
      </c>
      <c r="J9" s="583" t="s">
        <v>324</v>
      </c>
      <c r="K9" s="581" t="e">
        <f>#REF!+J9</f>
        <v>#REF!</v>
      </c>
      <c r="L9" s="583"/>
      <c r="M9" s="583">
        <v>0</v>
      </c>
      <c r="N9" s="583"/>
      <c r="O9" s="583"/>
      <c r="P9" s="583" t="s">
        <v>324</v>
      </c>
      <c r="Q9" s="583" t="s">
        <v>324</v>
      </c>
      <c r="R9" s="584" t="s">
        <v>324</v>
      </c>
      <c r="S9" s="447" t="e">
        <f t="shared" si="0"/>
        <v>#REF!</v>
      </c>
      <c r="U9" s="442"/>
    </row>
    <row r="10" spans="2:23">
      <c r="B10" s="410" t="s">
        <v>328</v>
      </c>
      <c r="C10" s="583">
        <v>-1305.3</v>
      </c>
      <c r="D10" s="583"/>
      <c r="E10" s="583">
        <v>-1305.3</v>
      </c>
      <c r="F10" s="583" t="s">
        <v>324</v>
      </c>
      <c r="G10" s="583" t="s">
        <v>324</v>
      </c>
      <c r="H10" s="583">
        <v>-1305.3</v>
      </c>
      <c r="I10" s="583" t="s">
        <v>324</v>
      </c>
      <c r="J10" s="583" t="s">
        <v>324</v>
      </c>
      <c r="K10" s="581" t="e">
        <f>#REF!+J10</f>
        <v>#REF!</v>
      </c>
      <c r="L10" s="583"/>
      <c r="M10" s="583">
        <v>0</v>
      </c>
      <c r="N10" s="583"/>
      <c r="O10" s="583"/>
      <c r="P10" s="583" t="s">
        <v>324</v>
      </c>
      <c r="Q10" s="583" t="s">
        <v>324</v>
      </c>
      <c r="R10" s="584" t="s">
        <v>324</v>
      </c>
      <c r="S10" s="447" t="e">
        <f t="shared" si="0"/>
        <v>#REF!</v>
      </c>
      <c r="U10" s="442"/>
    </row>
    <row r="11" spans="2:23">
      <c r="B11" s="410" t="s">
        <v>329</v>
      </c>
      <c r="C11" s="583">
        <v>-13513.5</v>
      </c>
      <c r="D11" s="583"/>
      <c r="E11" s="583">
        <v>-13513.5</v>
      </c>
      <c r="F11" s="583" t="s">
        <v>324</v>
      </c>
      <c r="G11" s="583" t="s">
        <v>324</v>
      </c>
      <c r="H11" s="583" t="s">
        <v>324</v>
      </c>
      <c r="I11" s="583" t="s">
        <v>324</v>
      </c>
      <c r="J11" s="583" t="s">
        <v>324</v>
      </c>
      <c r="K11" s="581" t="e">
        <f>#REF!+J11</f>
        <v>#REF!</v>
      </c>
      <c r="L11" s="583"/>
      <c r="M11" s="583">
        <v>0</v>
      </c>
      <c r="N11" s="583"/>
      <c r="O11" s="583"/>
      <c r="P11" s="583" t="s">
        <v>324</v>
      </c>
      <c r="Q11" s="583" t="s">
        <v>324</v>
      </c>
      <c r="R11" s="584" t="s">
        <v>324</v>
      </c>
      <c r="S11" s="447" t="e">
        <f t="shared" si="0"/>
        <v>#REF!</v>
      </c>
      <c r="U11" s="442"/>
    </row>
    <row r="12" spans="2:23">
      <c r="B12" s="411" t="s">
        <v>330</v>
      </c>
      <c r="C12" s="583">
        <v>-7141.9000000000005</v>
      </c>
      <c r="D12" s="583"/>
      <c r="E12" s="583">
        <v>-1403.8000000000002</v>
      </c>
      <c r="F12" s="583">
        <v>464.7</v>
      </c>
      <c r="G12" s="583">
        <v>1114.5</v>
      </c>
      <c r="H12" s="583">
        <v>170.6</v>
      </c>
      <c r="I12" s="583">
        <v>-2081.5</v>
      </c>
      <c r="J12" s="583">
        <v>-845.6</v>
      </c>
      <c r="K12" s="581" t="e">
        <f>#REF!+J12</f>
        <v>#REF!</v>
      </c>
      <c r="L12" s="583"/>
      <c r="M12" s="583">
        <v>0</v>
      </c>
      <c r="N12" s="583"/>
      <c r="O12" s="583"/>
      <c r="P12" s="583" t="s">
        <v>324</v>
      </c>
      <c r="Q12" s="583" t="s">
        <v>324</v>
      </c>
      <c r="R12" s="584">
        <v>2.8</v>
      </c>
      <c r="S12" s="447" t="e">
        <f t="shared" si="0"/>
        <v>#REF!</v>
      </c>
      <c r="U12" s="442"/>
    </row>
    <row r="13" spans="2:23">
      <c r="B13" s="412" t="s">
        <v>331</v>
      </c>
      <c r="C13" s="585">
        <v>713555.2</v>
      </c>
      <c r="D13" s="585"/>
      <c r="E13" s="585">
        <v>-52323.199999999997</v>
      </c>
      <c r="F13" s="583">
        <v>-1982.5</v>
      </c>
      <c r="G13" s="583">
        <v>8458</v>
      </c>
      <c r="H13" s="583">
        <v>-33574.6</v>
      </c>
      <c r="I13" s="583">
        <v>-2090</v>
      </c>
      <c r="J13" s="583">
        <v>-6812.5</v>
      </c>
      <c r="K13" s="581" t="e">
        <f>#REF!+J13</f>
        <v>#REF!</v>
      </c>
      <c r="L13" s="585"/>
      <c r="M13" s="585">
        <v>0</v>
      </c>
      <c r="N13" s="585"/>
      <c r="O13" s="585"/>
      <c r="P13" s="583" t="s">
        <v>324</v>
      </c>
      <c r="Q13" s="585">
        <v>-4874.3999999999996</v>
      </c>
      <c r="R13" s="586">
        <v>189</v>
      </c>
      <c r="S13" s="447" t="e">
        <f t="shared" si="0"/>
        <v>#REF!</v>
      </c>
      <c r="U13" s="442"/>
    </row>
    <row r="14" spans="2:23">
      <c r="B14" s="415" t="s">
        <v>332</v>
      </c>
      <c r="C14" s="585">
        <v>2461.4</v>
      </c>
      <c r="D14" s="585"/>
      <c r="E14" s="585">
        <v>955.00000000000011</v>
      </c>
      <c r="F14" s="583" t="s">
        <v>324</v>
      </c>
      <c r="G14" s="583">
        <v>375.8</v>
      </c>
      <c r="H14" s="583">
        <v>563.1</v>
      </c>
      <c r="I14" s="583" t="s">
        <v>324</v>
      </c>
      <c r="J14" s="583">
        <v>16.100000000000001</v>
      </c>
      <c r="K14" s="581" t="e">
        <f>#REF!+J14</f>
        <v>#REF!</v>
      </c>
      <c r="L14" s="585"/>
      <c r="M14" s="585">
        <v>0</v>
      </c>
      <c r="N14" s="585"/>
      <c r="O14" s="585"/>
      <c r="P14" s="583" t="s">
        <v>324</v>
      </c>
      <c r="Q14" s="585">
        <v>104.1</v>
      </c>
      <c r="R14" s="584" t="s">
        <v>324</v>
      </c>
      <c r="S14" s="447" t="e">
        <f t="shared" si="0"/>
        <v>#REF!</v>
      </c>
      <c r="U14" s="442"/>
    </row>
    <row r="15" spans="2:23">
      <c r="B15" s="415" t="s">
        <v>333</v>
      </c>
      <c r="C15" s="583" t="s">
        <v>324</v>
      </c>
      <c r="D15" s="583"/>
      <c r="E15" s="583" t="s">
        <v>324</v>
      </c>
      <c r="F15" s="583" t="s">
        <v>324</v>
      </c>
      <c r="G15" s="583" t="s">
        <v>324</v>
      </c>
      <c r="H15" s="583" t="s">
        <v>324</v>
      </c>
      <c r="I15" s="583" t="s">
        <v>324</v>
      </c>
      <c r="J15" s="583" t="s">
        <v>324</v>
      </c>
      <c r="K15" s="581" t="e">
        <f>#REF!+J15</f>
        <v>#REF!</v>
      </c>
      <c r="L15" s="583"/>
      <c r="M15" s="583">
        <v>0</v>
      </c>
      <c r="N15" s="583"/>
      <c r="O15" s="583"/>
      <c r="P15" s="583" t="s">
        <v>324</v>
      </c>
      <c r="Q15" s="583" t="s">
        <v>324</v>
      </c>
      <c r="R15" s="584" t="s">
        <v>324</v>
      </c>
      <c r="S15" s="447" t="e">
        <f t="shared" si="0"/>
        <v>#REF!</v>
      </c>
      <c r="U15" s="442"/>
    </row>
    <row r="16" spans="2:23">
      <c r="B16" s="415" t="s">
        <v>334</v>
      </c>
      <c r="C16" s="585">
        <v>-152555.29999999999</v>
      </c>
      <c r="D16" s="585"/>
      <c r="E16" s="585">
        <v>256780.2</v>
      </c>
      <c r="F16" s="583">
        <v>9959.2000000000007</v>
      </c>
      <c r="G16" s="583">
        <v>50169</v>
      </c>
      <c r="H16" s="583">
        <v>95067.5</v>
      </c>
      <c r="I16" s="583">
        <v>5365.2</v>
      </c>
      <c r="J16" s="583">
        <v>46513.4</v>
      </c>
      <c r="K16" s="581" t="e">
        <f>#REF!+J16</f>
        <v>#REF!</v>
      </c>
      <c r="L16" s="585"/>
      <c r="M16" s="585">
        <v>0</v>
      </c>
      <c r="N16" s="585"/>
      <c r="O16" s="585"/>
      <c r="P16" s="585">
        <v>14016</v>
      </c>
      <c r="Q16" s="585">
        <v>93862.5</v>
      </c>
      <c r="R16" s="584" t="s">
        <v>324</v>
      </c>
      <c r="S16" s="447" t="e">
        <f t="shared" si="0"/>
        <v>#REF!</v>
      </c>
      <c r="U16" s="442"/>
    </row>
    <row r="17" spans="1:23">
      <c r="B17" s="410" t="s">
        <v>335</v>
      </c>
      <c r="C17" s="583">
        <v>-85949.999999999985</v>
      </c>
      <c r="D17" s="583"/>
      <c r="E17" s="583">
        <v>-597.20000000000005</v>
      </c>
      <c r="F17" s="583" t="s">
        <v>324</v>
      </c>
      <c r="G17" s="583" t="s">
        <v>324</v>
      </c>
      <c r="H17" s="583">
        <v>-597.20000000000005</v>
      </c>
      <c r="I17" s="583" t="s">
        <v>324</v>
      </c>
      <c r="J17" s="583" t="s">
        <v>324</v>
      </c>
      <c r="K17" s="581" t="e">
        <f>#REF!+J17</f>
        <v>#REF!</v>
      </c>
      <c r="L17" s="583"/>
      <c r="M17" s="583">
        <v>0</v>
      </c>
      <c r="N17" s="583"/>
      <c r="O17" s="583"/>
      <c r="P17" s="583" t="s">
        <v>324</v>
      </c>
      <c r="Q17" s="583">
        <v>66677.8</v>
      </c>
      <c r="R17" s="584" t="s">
        <v>324</v>
      </c>
      <c r="S17" s="447" t="e">
        <f t="shared" si="0"/>
        <v>#REF!</v>
      </c>
      <c r="T17" s="444" t="e">
        <f>(Q17+#REF!)/SUM(F17:K17)*-1</f>
        <v>#REF!</v>
      </c>
      <c r="U17" s="442"/>
    </row>
    <row r="18" spans="1:23">
      <c r="B18" s="410" t="s">
        <v>336</v>
      </c>
      <c r="C18" s="583">
        <v>-54926.900000000009</v>
      </c>
      <c r="D18" s="583"/>
      <c r="E18" s="583">
        <v>-8.5</v>
      </c>
      <c r="F18" s="583" t="s">
        <v>324</v>
      </c>
      <c r="G18" s="583" t="s">
        <v>324</v>
      </c>
      <c r="H18" s="583">
        <v>-8.5</v>
      </c>
      <c r="I18" s="583" t="s">
        <v>324</v>
      </c>
      <c r="J18" s="583" t="s">
        <v>324</v>
      </c>
      <c r="K18" s="581" t="e">
        <f>#REF!+J18</f>
        <v>#REF!</v>
      </c>
      <c r="L18" s="583"/>
      <c r="M18" s="583">
        <v>0</v>
      </c>
      <c r="N18" s="583"/>
      <c r="O18" s="583"/>
      <c r="P18" s="583">
        <v>7785.7</v>
      </c>
      <c r="Q18" s="583">
        <v>27184.7</v>
      </c>
      <c r="R18" s="584" t="s">
        <v>324</v>
      </c>
      <c r="S18" s="447" t="e">
        <f t="shared" si="0"/>
        <v>#REF!</v>
      </c>
      <c r="T18" s="445" t="e">
        <f>SUM(P18:Q18)/SUM(F18:O18)*-1</f>
        <v>#REF!</v>
      </c>
      <c r="U18" s="442"/>
    </row>
    <row r="19" spans="1:23">
      <c r="B19" s="410" t="s">
        <v>337</v>
      </c>
      <c r="C19" s="583">
        <v>-1922.8999999999996</v>
      </c>
      <c r="D19" s="583"/>
      <c r="E19" s="583">
        <v>-17</v>
      </c>
      <c r="F19" s="583" t="s">
        <v>324</v>
      </c>
      <c r="G19" s="583" t="s">
        <v>324</v>
      </c>
      <c r="H19" s="583">
        <v>-8.5</v>
      </c>
      <c r="I19" s="583">
        <v>-8.5</v>
      </c>
      <c r="J19" s="583" t="s">
        <v>324</v>
      </c>
      <c r="K19" s="581" t="e">
        <f>#REF!+J19</f>
        <v>#REF!</v>
      </c>
      <c r="L19" s="583"/>
      <c r="M19" s="583">
        <v>0</v>
      </c>
      <c r="N19" s="583"/>
      <c r="O19" s="583"/>
      <c r="P19" s="583">
        <v>6230.3</v>
      </c>
      <c r="Q19" s="583" t="s">
        <v>324</v>
      </c>
      <c r="R19" s="584" t="s">
        <v>324</v>
      </c>
      <c r="S19" s="447" t="e">
        <f t="shared" si="0"/>
        <v>#REF!</v>
      </c>
      <c r="T19" s="445" t="e">
        <f>SUM(P19:Q19)/SUM(F19:O19)*-1</f>
        <v>#REF!</v>
      </c>
      <c r="U19" s="442"/>
    </row>
    <row r="20" spans="1:23">
      <c r="B20" s="410" t="s">
        <v>338</v>
      </c>
      <c r="C20" s="583">
        <v>1174.4000000000001</v>
      </c>
      <c r="D20" s="583"/>
      <c r="E20" s="583">
        <v>1389.2</v>
      </c>
      <c r="F20" s="583">
        <v>569.1</v>
      </c>
      <c r="G20" s="583" t="s">
        <v>324</v>
      </c>
      <c r="H20" s="583" t="s">
        <v>324</v>
      </c>
      <c r="I20" s="583" t="s">
        <v>324</v>
      </c>
      <c r="J20" s="583">
        <v>820.1</v>
      </c>
      <c r="K20" s="581" t="e">
        <f>#REF!+J20</f>
        <v>#REF!</v>
      </c>
      <c r="L20" s="583"/>
      <c r="M20" s="583">
        <v>0</v>
      </c>
      <c r="N20" s="583"/>
      <c r="O20" s="583"/>
      <c r="P20" s="583" t="s">
        <v>324</v>
      </c>
      <c r="Q20" s="583" t="s">
        <v>324</v>
      </c>
      <c r="R20" s="584" t="s">
        <v>324</v>
      </c>
      <c r="S20" s="447" t="e">
        <f t="shared" si="0"/>
        <v>#REF!</v>
      </c>
      <c r="U20" s="442"/>
    </row>
    <row r="21" spans="1:23">
      <c r="B21" s="410" t="s">
        <v>339</v>
      </c>
      <c r="C21" s="583" t="s">
        <v>324</v>
      </c>
      <c r="D21" s="583"/>
      <c r="E21" s="583" t="s">
        <v>324</v>
      </c>
      <c r="F21" s="583" t="s">
        <v>324</v>
      </c>
      <c r="G21" s="583" t="s">
        <v>324</v>
      </c>
      <c r="H21" s="583" t="s">
        <v>324</v>
      </c>
      <c r="I21" s="583" t="s">
        <v>324</v>
      </c>
      <c r="J21" s="583" t="s">
        <v>324</v>
      </c>
      <c r="K21" s="581" t="e">
        <f>#REF!+J21</f>
        <v>#REF!</v>
      </c>
      <c r="L21" s="583"/>
      <c r="M21" s="583">
        <v>0</v>
      </c>
      <c r="N21" s="583"/>
      <c r="O21" s="583"/>
      <c r="P21" s="583" t="s">
        <v>324</v>
      </c>
      <c r="Q21" s="583" t="s">
        <v>324</v>
      </c>
      <c r="R21" s="584" t="s">
        <v>324</v>
      </c>
      <c r="S21" s="447" t="e">
        <f t="shared" si="0"/>
        <v>#REF!</v>
      </c>
      <c r="U21" s="442"/>
    </row>
    <row r="22" spans="1:23" ht="15">
      <c r="A22" s="445" t="e">
        <f>(C22-C25-Q25)/#REF!</f>
        <v>#REF!</v>
      </c>
      <c r="B22" s="416" t="s">
        <v>340</v>
      </c>
      <c r="C22" s="583">
        <v>-10927.8</v>
      </c>
      <c r="D22" s="583"/>
      <c r="E22" s="583">
        <v>256013.7</v>
      </c>
      <c r="F22" s="583">
        <v>9390.1</v>
      </c>
      <c r="G22" s="583">
        <v>50169</v>
      </c>
      <c r="H22" s="583">
        <v>95681.7</v>
      </c>
      <c r="I22" s="583">
        <v>5373.7</v>
      </c>
      <c r="J22" s="583">
        <v>45693.3</v>
      </c>
      <c r="K22" s="581" t="e">
        <f>#REF!+J22</f>
        <v>#REF!</v>
      </c>
      <c r="L22" s="583"/>
      <c r="M22" s="583">
        <v>0</v>
      </c>
      <c r="N22" s="583"/>
      <c r="O22" s="583"/>
      <c r="P22" s="583" t="s">
        <v>324</v>
      </c>
      <c r="Q22" s="583" t="s">
        <v>324</v>
      </c>
      <c r="R22" s="584" t="s">
        <v>324</v>
      </c>
      <c r="S22" s="447" t="e">
        <f t="shared" si="0"/>
        <v>#REF!</v>
      </c>
      <c r="T22" s="427">
        <v>29</v>
      </c>
      <c r="U22" s="442"/>
    </row>
    <row r="23" spans="1:23" ht="15">
      <c r="B23" s="416" t="s">
        <v>341</v>
      </c>
      <c r="C23" s="583" t="s">
        <v>324</v>
      </c>
      <c r="D23" s="583"/>
      <c r="E23" s="583" t="s">
        <v>324</v>
      </c>
      <c r="F23" s="583" t="s">
        <v>324</v>
      </c>
      <c r="G23" s="583" t="s">
        <v>324</v>
      </c>
      <c r="H23" s="583" t="s">
        <v>324</v>
      </c>
      <c r="I23" s="583" t="s">
        <v>324</v>
      </c>
      <c r="J23" s="583" t="s">
        <v>324</v>
      </c>
      <c r="K23" s="581" t="e">
        <f>#REF!+J23</f>
        <v>#REF!</v>
      </c>
      <c r="L23" s="583"/>
      <c r="M23" s="583">
        <v>0</v>
      </c>
      <c r="N23" s="583"/>
      <c r="O23" s="583"/>
      <c r="P23" s="583" t="s">
        <v>324</v>
      </c>
      <c r="Q23" s="583" t="s">
        <v>324</v>
      </c>
      <c r="R23" s="584" t="s">
        <v>324</v>
      </c>
      <c r="S23" s="447" t="e">
        <f t="shared" si="0"/>
        <v>#REF!</v>
      </c>
      <c r="T23" s="427">
        <v>54</v>
      </c>
      <c r="U23" s="442"/>
    </row>
    <row r="24" spans="1:23">
      <c r="B24" s="410" t="s">
        <v>342</v>
      </c>
      <c r="C24" s="583">
        <v>-2.0999999999999996</v>
      </c>
      <c r="D24" s="583"/>
      <c r="E24" s="583" t="s">
        <v>324</v>
      </c>
      <c r="F24" s="583" t="s">
        <v>324</v>
      </c>
      <c r="G24" s="583" t="s">
        <v>324</v>
      </c>
      <c r="H24" s="583" t="s">
        <v>324</v>
      </c>
      <c r="I24" s="583" t="s">
        <v>324</v>
      </c>
      <c r="J24" s="583" t="s">
        <v>324</v>
      </c>
      <c r="K24" s="581" t="e">
        <f>#REF!+J24</f>
        <v>#REF!</v>
      </c>
      <c r="L24" s="583"/>
      <c r="M24" s="583">
        <v>0</v>
      </c>
      <c r="N24" s="583"/>
      <c r="O24" s="583"/>
      <c r="P24" s="583" t="s">
        <v>324</v>
      </c>
      <c r="Q24" s="583" t="s">
        <v>324</v>
      </c>
      <c r="R24" s="584" t="s">
        <v>324</v>
      </c>
      <c r="S24" s="447" t="e">
        <f t="shared" si="0"/>
        <v>#REF!</v>
      </c>
      <c r="T24" s="427">
        <v>98</v>
      </c>
      <c r="U24" s="442"/>
    </row>
    <row r="25" spans="1:23" ht="15">
      <c r="B25" s="417" t="s">
        <v>343</v>
      </c>
      <c r="C25" s="585">
        <v>47230.5</v>
      </c>
      <c r="D25" s="585"/>
      <c r="E25" s="585">
        <v>13615.7</v>
      </c>
      <c r="F25" s="583" t="s">
        <v>324</v>
      </c>
      <c r="G25" s="583" t="s">
        <v>324</v>
      </c>
      <c r="H25" s="583" t="s">
        <v>324</v>
      </c>
      <c r="I25" s="583" t="s">
        <v>324</v>
      </c>
      <c r="J25" s="583">
        <v>5647.7</v>
      </c>
      <c r="K25" s="581" t="e">
        <f>#REF!+J25</f>
        <v>#REF!</v>
      </c>
      <c r="L25" s="585"/>
      <c r="M25" s="585">
        <v>0</v>
      </c>
      <c r="N25" s="585"/>
      <c r="O25" s="585"/>
      <c r="P25" s="585">
        <v>9.6</v>
      </c>
      <c r="Q25" s="585">
        <v>13673.5</v>
      </c>
      <c r="R25" s="584" t="s">
        <v>324</v>
      </c>
      <c r="S25" s="447" t="e">
        <f t="shared" si="0"/>
        <v>#REF!</v>
      </c>
      <c r="T25" s="427">
        <v>315</v>
      </c>
      <c r="U25" s="442"/>
    </row>
    <row r="26" spans="1:23" ht="15">
      <c r="B26" s="417" t="s">
        <v>344</v>
      </c>
      <c r="C26" s="585">
        <v>38719.5</v>
      </c>
      <c r="D26" s="585"/>
      <c r="E26" s="583" t="s">
        <v>324</v>
      </c>
      <c r="F26" s="583" t="s">
        <v>324</v>
      </c>
      <c r="G26" s="583" t="s">
        <v>324</v>
      </c>
      <c r="H26" s="583" t="s">
        <v>324</v>
      </c>
      <c r="I26" s="583" t="s">
        <v>324</v>
      </c>
      <c r="J26" s="583" t="s">
        <v>324</v>
      </c>
      <c r="K26" s="581" t="e">
        <f>#REF!+J26</f>
        <v>#REF!</v>
      </c>
      <c r="L26" s="585"/>
      <c r="M26" s="585">
        <v>0</v>
      </c>
      <c r="N26" s="585"/>
      <c r="O26" s="585"/>
      <c r="P26" s="585">
        <v>798.9</v>
      </c>
      <c r="Q26" s="585">
        <v>8012.2</v>
      </c>
      <c r="R26" s="584" t="s">
        <v>324</v>
      </c>
      <c r="S26" s="447" t="e">
        <f t="shared" si="0"/>
        <v>#REF!</v>
      </c>
      <c r="T26" s="427">
        <f>SUM(T22:T25)</f>
        <v>496</v>
      </c>
      <c r="U26" s="442"/>
    </row>
    <row r="27" spans="1:23" ht="15">
      <c r="B27" s="417" t="s">
        <v>345</v>
      </c>
      <c r="C27" s="585">
        <v>472588.5</v>
      </c>
      <c r="D27" s="585"/>
      <c r="E27" s="585">
        <v>189886.30000000002</v>
      </c>
      <c r="F27" s="583">
        <v>7976.7</v>
      </c>
      <c r="G27" s="583">
        <v>58251.199999999997</v>
      </c>
      <c r="H27" s="583">
        <v>60929.8</v>
      </c>
      <c r="I27" s="583">
        <v>3275.2</v>
      </c>
      <c r="J27" s="583">
        <v>34037.1</v>
      </c>
      <c r="K27" s="581" t="e">
        <f>#REF!+J27</f>
        <v>#REF!</v>
      </c>
      <c r="L27" s="585"/>
      <c r="M27" s="585">
        <v>0</v>
      </c>
      <c r="N27" s="585"/>
      <c r="O27" s="585"/>
      <c r="P27" s="585">
        <v>13207.5</v>
      </c>
      <c r="Q27" s="585">
        <v>67198.3</v>
      </c>
      <c r="R27" s="586">
        <v>189</v>
      </c>
      <c r="S27" s="447" t="e">
        <f t="shared" si="0"/>
        <v>#REF!</v>
      </c>
      <c r="U27" s="442"/>
    </row>
    <row r="28" spans="1:23" ht="15">
      <c r="B28" s="417" t="s">
        <v>346</v>
      </c>
      <c r="C28" s="585">
        <v>417127.69999999995</v>
      </c>
      <c r="D28" s="585"/>
      <c r="E28" s="585">
        <v>135808.9</v>
      </c>
      <c r="F28" s="583">
        <v>1033.7</v>
      </c>
      <c r="G28" s="583">
        <v>58251.199999999997</v>
      </c>
      <c r="H28" s="583">
        <v>60784.800000000003</v>
      </c>
      <c r="I28" s="583">
        <v>2655</v>
      </c>
      <c r="J28" s="583">
        <v>97.6</v>
      </c>
      <c r="K28" s="581" t="e">
        <f>#REF!+J28</f>
        <v>#REF!</v>
      </c>
      <c r="L28" s="587"/>
      <c r="M28" s="587">
        <v>0</v>
      </c>
      <c r="N28" s="587"/>
      <c r="O28" s="587"/>
      <c r="P28" s="588"/>
      <c r="Q28" s="585">
        <v>67198.3</v>
      </c>
      <c r="R28" s="586">
        <v>36</v>
      </c>
      <c r="S28" s="447" t="e">
        <f t="shared" si="0"/>
        <v>#REF!</v>
      </c>
      <c r="U28" s="442"/>
    </row>
    <row r="29" spans="1:23">
      <c r="B29" s="418" t="s">
        <v>347</v>
      </c>
      <c r="C29" s="589">
        <v>2329926.804</v>
      </c>
      <c r="D29" s="590">
        <v>128697.84699999999</v>
      </c>
      <c r="E29" s="589">
        <v>137636.19099999999</v>
      </c>
      <c r="F29" s="591">
        <v>2799.81</v>
      </c>
      <c r="G29" s="589">
        <v>3086.5129999999999</v>
      </c>
      <c r="H29" s="589">
        <v>79286.168999999994</v>
      </c>
      <c r="I29" s="589">
        <v>25940.548999999999</v>
      </c>
      <c r="J29" s="592">
        <f t="shared" ref="J29:J42" si="1">E29-SUM(F29:I29)-W29</f>
        <v>12011.201999999994</v>
      </c>
      <c r="K29" s="581">
        <v>829920.46100000001</v>
      </c>
      <c r="L29" s="587">
        <v>3327</v>
      </c>
      <c r="M29" s="589">
        <v>2745.6530000000002</v>
      </c>
      <c r="N29" s="589">
        <v>85623</v>
      </c>
      <c r="O29" s="589">
        <v>76057</v>
      </c>
      <c r="P29" s="591">
        <v>179213</v>
      </c>
      <c r="Q29" s="591">
        <v>803761.2</v>
      </c>
      <c r="R29" s="587">
        <v>96992.4</v>
      </c>
      <c r="S29" s="447">
        <f t="shared" si="0"/>
        <v>2329461.804</v>
      </c>
      <c r="T29" s="442">
        <f t="shared" ref="T29:T42" si="2">S29-C29</f>
        <v>-465</v>
      </c>
      <c r="U29" s="442"/>
      <c r="W29" s="427">
        <v>14511.948</v>
      </c>
    </row>
    <row r="30" spans="1:23" ht="15">
      <c r="B30" s="419" t="s">
        <v>348</v>
      </c>
      <c r="C30" s="590">
        <v>298073.03499999997</v>
      </c>
      <c r="D30" s="589">
        <v>28433.278999999999</v>
      </c>
      <c r="E30" s="590">
        <v>600.34400000000005</v>
      </c>
      <c r="F30" s="590">
        <v>43.073999999999998</v>
      </c>
      <c r="G30" s="587">
        <v>0</v>
      </c>
      <c r="H30" s="587">
        <v>429.27</v>
      </c>
      <c r="I30" s="587">
        <v>0</v>
      </c>
      <c r="J30" s="592">
        <f t="shared" si="1"/>
        <v>128.00000000000006</v>
      </c>
      <c r="K30" s="581">
        <v>86104.111999999994</v>
      </c>
      <c r="L30" s="591">
        <v>0</v>
      </c>
      <c r="M30" s="590">
        <v>0</v>
      </c>
      <c r="N30" s="590">
        <v>4</v>
      </c>
      <c r="O30" s="590">
        <v>0</v>
      </c>
      <c r="P30" s="587">
        <v>1410</v>
      </c>
      <c r="Q30" s="587">
        <v>87739.199999999997</v>
      </c>
      <c r="R30" s="591">
        <v>93782.1</v>
      </c>
      <c r="S30" s="447">
        <f t="shared" si="0"/>
        <v>298073.03499999997</v>
      </c>
      <c r="T30" s="442">
        <f t="shared" si="2"/>
        <v>0</v>
      </c>
      <c r="U30" s="442"/>
      <c r="W30" s="427">
        <v>0</v>
      </c>
    </row>
    <row r="31" spans="1:23" ht="15">
      <c r="B31" s="419" t="s">
        <v>349</v>
      </c>
      <c r="C31" s="589">
        <v>567567.06900000002</v>
      </c>
      <c r="D31" s="590">
        <v>14652.936</v>
      </c>
      <c r="E31" s="589">
        <v>35945.790999999997</v>
      </c>
      <c r="F31" s="591">
        <v>0</v>
      </c>
      <c r="G31" s="591">
        <v>0</v>
      </c>
      <c r="H31" s="589">
        <v>1588.299</v>
      </c>
      <c r="I31" s="589">
        <v>21139.732</v>
      </c>
      <c r="J31" s="592">
        <f t="shared" si="1"/>
        <v>479.99999999999818</v>
      </c>
      <c r="K31" s="581">
        <v>222522.37600000002</v>
      </c>
      <c r="L31" s="587">
        <v>682</v>
      </c>
      <c r="M31" s="589">
        <v>26.925999999999998</v>
      </c>
      <c r="N31" s="589">
        <v>1113</v>
      </c>
      <c r="O31" s="589">
        <v>8748</v>
      </c>
      <c r="P31" s="591">
        <v>105172</v>
      </c>
      <c r="Q31" s="591">
        <v>189748.8</v>
      </c>
      <c r="R31" s="587">
        <v>1692</v>
      </c>
      <c r="S31" s="447">
        <f t="shared" si="0"/>
        <v>567566.0689999999</v>
      </c>
      <c r="T31" s="442">
        <f t="shared" si="2"/>
        <v>-1.0000000001164153</v>
      </c>
      <c r="U31" s="442"/>
      <c r="W31" s="427">
        <v>12737.76</v>
      </c>
    </row>
    <row r="32" spans="1:23" ht="15">
      <c r="B32" s="419" t="s">
        <v>350</v>
      </c>
      <c r="C32" s="590">
        <v>94496.457999999999</v>
      </c>
      <c r="D32" s="589">
        <v>1097.598</v>
      </c>
      <c r="E32" s="590">
        <v>1601.681</v>
      </c>
      <c r="F32" s="590">
        <v>86.147999999999996</v>
      </c>
      <c r="G32" s="587">
        <v>0</v>
      </c>
      <c r="H32" s="590">
        <v>472.197</v>
      </c>
      <c r="I32" s="590">
        <v>685.83100000000002</v>
      </c>
      <c r="J32" s="592">
        <f t="shared" si="1"/>
        <v>357.50500000000011</v>
      </c>
      <c r="K32" s="581">
        <v>35464.18</v>
      </c>
      <c r="L32" s="591">
        <v>10</v>
      </c>
      <c r="M32" s="587">
        <v>0</v>
      </c>
      <c r="N32" s="587">
        <v>0</v>
      </c>
      <c r="O32" s="587">
        <v>238</v>
      </c>
      <c r="P32" s="587">
        <v>1131</v>
      </c>
      <c r="Q32" s="587">
        <v>54954</v>
      </c>
      <c r="R32" s="591">
        <v>0</v>
      </c>
      <c r="S32" s="447">
        <f t="shared" si="0"/>
        <v>94496.459000000003</v>
      </c>
      <c r="T32" s="442">
        <f t="shared" si="2"/>
        <v>1.0000000038417056E-3</v>
      </c>
      <c r="U32" s="442"/>
      <c r="W32" s="427">
        <v>0</v>
      </c>
    </row>
    <row r="33" spans="2:23" ht="15">
      <c r="B33" s="419" t="s">
        <v>351</v>
      </c>
      <c r="C33" s="589">
        <v>281834.08299999998</v>
      </c>
      <c r="D33" s="590">
        <v>53875.453000000001</v>
      </c>
      <c r="E33" s="589">
        <v>16428.066999999999</v>
      </c>
      <c r="F33" s="589">
        <v>516.88800000000003</v>
      </c>
      <c r="G33" s="591">
        <v>0</v>
      </c>
      <c r="H33" s="589">
        <v>3176.598</v>
      </c>
      <c r="I33" s="589">
        <v>2339.8939999999998</v>
      </c>
      <c r="J33" s="592">
        <f t="shared" si="1"/>
        <v>10394.687</v>
      </c>
      <c r="K33" s="581">
        <v>105073.03</v>
      </c>
      <c r="L33" s="587">
        <v>12</v>
      </c>
      <c r="M33" s="591">
        <v>242.334</v>
      </c>
      <c r="N33" s="591">
        <v>6651</v>
      </c>
      <c r="O33" s="591">
        <v>53692</v>
      </c>
      <c r="P33" s="591">
        <v>889</v>
      </c>
      <c r="Q33" s="591">
        <v>44971.199999999997</v>
      </c>
      <c r="R33" s="587">
        <v>0</v>
      </c>
      <c r="S33" s="447">
        <f t="shared" si="0"/>
        <v>281834.08399999997</v>
      </c>
      <c r="T33" s="442">
        <f t="shared" si="2"/>
        <v>9.9999998928979039E-4</v>
      </c>
      <c r="U33" s="442"/>
      <c r="W33" s="427">
        <v>0</v>
      </c>
    </row>
    <row r="34" spans="2:23" ht="15">
      <c r="B34" s="419" t="s">
        <v>352</v>
      </c>
      <c r="C34" s="590">
        <v>120246.702</v>
      </c>
      <c r="D34" s="591">
        <v>7161.88</v>
      </c>
      <c r="E34" s="590">
        <v>1628.5350000000001</v>
      </c>
      <c r="F34" s="587">
        <v>215.37</v>
      </c>
      <c r="G34" s="587">
        <v>0</v>
      </c>
      <c r="H34" s="590">
        <v>1373.664</v>
      </c>
      <c r="I34" s="587">
        <v>0</v>
      </c>
      <c r="J34" s="592">
        <f t="shared" si="1"/>
        <v>39.500999999999976</v>
      </c>
      <c r="K34" s="581">
        <v>36605.161</v>
      </c>
      <c r="L34" s="591">
        <v>119</v>
      </c>
      <c r="M34" s="590">
        <v>26.925999999999998</v>
      </c>
      <c r="N34" s="590">
        <v>318</v>
      </c>
      <c r="O34" s="590">
        <v>0</v>
      </c>
      <c r="P34" s="587">
        <v>12126</v>
      </c>
      <c r="Q34" s="587">
        <v>61120.800000000003</v>
      </c>
      <c r="R34" s="591">
        <v>1139.4000000000001</v>
      </c>
      <c r="S34" s="447">
        <f t="shared" si="0"/>
        <v>120245.702</v>
      </c>
      <c r="T34" s="442">
        <f t="shared" si="2"/>
        <v>-1</v>
      </c>
      <c r="U34" s="442"/>
      <c r="W34" s="427">
        <v>0</v>
      </c>
    </row>
    <row r="35" spans="2:23" ht="15">
      <c r="B35" s="419" t="s">
        <v>260</v>
      </c>
      <c r="C35" s="589">
        <v>214289.12599999999</v>
      </c>
      <c r="D35" s="590">
        <v>574.64200000000005</v>
      </c>
      <c r="E35" s="589">
        <v>8575.7720000000008</v>
      </c>
      <c r="F35" s="589">
        <v>947.62800000000004</v>
      </c>
      <c r="G35" s="591">
        <v>0</v>
      </c>
      <c r="H35" s="589">
        <v>7469.2979999999998</v>
      </c>
      <c r="I35" s="589">
        <v>40.343000000000004</v>
      </c>
      <c r="J35" s="592">
        <f t="shared" si="1"/>
        <v>118.50300000000061</v>
      </c>
      <c r="K35" s="581">
        <v>73810.733999999997</v>
      </c>
      <c r="L35" s="587">
        <v>103</v>
      </c>
      <c r="M35" s="589">
        <v>80.778000000000006</v>
      </c>
      <c r="N35" s="589">
        <v>1258</v>
      </c>
      <c r="O35" s="589">
        <v>781</v>
      </c>
      <c r="P35" s="591">
        <v>10178</v>
      </c>
      <c r="Q35" s="591">
        <v>118558.8</v>
      </c>
      <c r="R35" s="587">
        <v>365.4</v>
      </c>
      <c r="S35" s="447">
        <f t="shared" si="0"/>
        <v>214286.12599999999</v>
      </c>
      <c r="T35" s="442">
        <f t="shared" si="2"/>
        <v>-3</v>
      </c>
      <c r="U35" s="442"/>
      <c r="W35" s="427">
        <v>0</v>
      </c>
    </row>
    <row r="36" spans="2:23">
      <c r="B36" s="420" t="s">
        <v>353</v>
      </c>
      <c r="C36" s="590">
        <v>14600.868</v>
      </c>
      <c r="D36" s="591">
        <v>2624.08</v>
      </c>
      <c r="E36" s="590">
        <v>1194.825</v>
      </c>
      <c r="F36" s="590">
        <v>129.22200000000001</v>
      </c>
      <c r="G36" s="587">
        <v>0</v>
      </c>
      <c r="H36" s="590">
        <v>729.75900000000001</v>
      </c>
      <c r="I36" s="590">
        <v>40.343000000000004</v>
      </c>
      <c r="J36" s="592">
        <f t="shared" si="1"/>
        <v>295.50100000000009</v>
      </c>
      <c r="K36" s="581">
        <v>3917.636</v>
      </c>
      <c r="L36" s="591">
        <v>73</v>
      </c>
      <c r="M36" s="590">
        <v>26.925999999999998</v>
      </c>
      <c r="N36" s="590">
        <v>130</v>
      </c>
      <c r="O36" s="590">
        <v>0</v>
      </c>
      <c r="P36" s="587">
        <v>194</v>
      </c>
      <c r="Q36" s="587">
        <v>6440.4</v>
      </c>
      <c r="R36" s="591">
        <v>0</v>
      </c>
      <c r="S36" s="447">
        <f t="shared" si="0"/>
        <v>14600.867</v>
      </c>
      <c r="T36" s="442">
        <f t="shared" si="2"/>
        <v>-1.0000000002037268E-3</v>
      </c>
      <c r="U36" s="442"/>
      <c r="W36" s="427">
        <v>0</v>
      </c>
    </row>
    <row r="37" spans="2:23">
      <c r="B37" s="420" t="s">
        <v>354</v>
      </c>
      <c r="C37" s="589">
        <v>213476.288</v>
      </c>
      <c r="D37" s="590">
        <v>7846.0739999999996</v>
      </c>
      <c r="E37" s="589">
        <v>6834.6090000000004</v>
      </c>
      <c r="F37" s="589">
        <v>258.44400000000002</v>
      </c>
      <c r="G37" s="591">
        <v>0</v>
      </c>
      <c r="H37" s="589">
        <v>5365.875</v>
      </c>
      <c r="I37" s="591">
        <v>1210.29</v>
      </c>
      <c r="J37" s="592">
        <f t="shared" si="1"/>
        <v>0</v>
      </c>
      <c r="K37" s="581">
        <v>116593.553</v>
      </c>
      <c r="L37" s="587">
        <v>844</v>
      </c>
      <c r="M37" s="589">
        <v>53.851999999999997</v>
      </c>
      <c r="N37" s="589">
        <v>2111</v>
      </c>
      <c r="O37" s="589">
        <v>0</v>
      </c>
      <c r="P37" s="591">
        <v>11956</v>
      </c>
      <c r="Q37" s="591">
        <v>67237.2</v>
      </c>
      <c r="R37" s="587">
        <v>0</v>
      </c>
      <c r="S37" s="447">
        <f t="shared" si="0"/>
        <v>213476.28799999997</v>
      </c>
      <c r="T37" s="442">
        <f t="shared" si="2"/>
        <v>0</v>
      </c>
      <c r="U37" s="442"/>
      <c r="W37" s="427">
        <v>0</v>
      </c>
    </row>
    <row r="38" spans="2:23">
      <c r="B38" s="420" t="s">
        <v>355</v>
      </c>
      <c r="C38" s="590">
        <v>223933.81700000001</v>
      </c>
      <c r="D38" s="591">
        <v>10776.85</v>
      </c>
      <c r="E38" s="590">
        <v>1645.181</v>
      </c>
      <c r="F38" s="590">
        <v>86.147999999999996</v>
      </c>
      <c r="G38" s="587">
        <v>0</v>
      </c>
      <c r="H38" s="590">
        <v>1116.1020000000001</v>
      </c>
      <c r="I38" s="587">
        <v>403.43</v>
      </c>
      <c r="J38" s="592">
        <f t="shared" si="1"/>
        <v>39.500999999999976</v>
      </c>
      <c r="K38" s="581">
        <v>78489.357000000004</v>
      </c>
      <c r="L38" s="591">
        <v>1340</v>
      </c>
      <c r="M38" s="590">
        <v>134.63</v>
      </c>
      <c r="N38" s="590">
        <v>21064</v>
      </c>
      <c r="O38" s="590">
        <v>12446</v>
      </c>
      <c r="P38" s="587">
        <v>26801</v>
      </c>
      <c r="Q38" s="587">
        <v>71236.800000000003</v>
      </c>
      <c r="R38" s="591">
        <v>0</v>
      </c>
      <c r="S38" s="447">
        <f t="shared" ref="S38:S69" si="3">SUM(F38:R38)+D38</f>
        <v>223933.818</v>
      </c>
      <c r="T38" s="442">
        <f t="shared" si="2"/>
        <v>9.9999998928979039E-4</v>
      </c>
      <c r="U38" s="442"/>
      <c r="W38" s="427">
        <v>0</v>
      </c>
    </row>
    <row r="39" spans="2:23" ht="15">
      <c r="B39" s="419" t="s">
        <v>356</v>
      </c>
      <c r="C39" s="589">
        <v>72305.264999999999</v>
      </c>
      <c r="D39" s="587">
        <v>0</v>
      </c>
      <c r="E39" s="589">
        <v>641.46799999999996</v>
      </c>
      <c r="F39" s="589">
        <v>43.073999999999998</v>
      </c>
      <c r="G39" s="591">
        <v>0</v>
      </c>
      <c r="H39" s="589">
        <v>558.05100000000004</v>
      </c>
      <c r="I39" s="589">
        <v>40.343000000000004</v>
      </c>
      <c r="J39" s="592">
        <f t="shared" si="1"/>
        <v>0</v>
      </c>
      <c r="K39" s="581">
        <v>4556.9449999999997</v>
      </c>
      <c r="L39" s="587">
        <v>5</v>
      </c>
      <c r="M39" s="589">
        <v>53.851999999999997</v>
      </c>
      <c r="N39" s="589">
        <v>48238</v>
      </c>
      <c r="O39" s="589">
        <v>149</v>
      </c>
      <c r="P39" s="591">
        <v>2227</v>
      </c>
      <c r="Q39" s="591">
        <v>16434</v>
      </c>
      <c r="R39" s="587">
        <v>0</v>
      </c>
      <c r="S39" s="447">
        <f t="shared" si="3"/>
        <v>72305.264999999999</v>
      </c>
      <c r="T39" s="442">
        <f t="shared" si="2"/>
        <v>0</v>
      </c>
      <c r="U39" s="442"/>
      <c r="W39" s="427">
        <v>0</v>
      </c>
    </row>
    <row r="40" spans="2:23">
      <c r="B40" s="420" t="s">
        <v>357</v>
      </c>
      <c r="C40" s="589">
        <v>17319.823</v>
      </c>
      <c r="D40" s="590">
        <v>180.55199999999999</v>
      </c>
      <c r="E40" s="589">
        <v>601.125</v>
      </c>
      <c r="F40" s="589">
        <v>43.073999999999998</v>
      </c>
      <c r="G40" s="591">
        <v>0</v>
      </c>
      <c r="H40" s="589">
        <v>558.05100000000004</v>
      </c>
      <c r="I40" s="591">
        <v>0</v>
      </c>
      <c r="J40" s="592">
        <f t="shared" si="1"/>
        <v>0</v>
      </c>
      <c r="K40" s="581">
        <v>8865.5460000000003</v>
      </c>
      <c r="L40" s="587">
        <v>3</v>
      </c>
      <c r="M40" s="589">
        <v>0</v>
      </c>
      <c r="N40" s="589">
        <v>120</v>
      </c>
      <c r="O40" s="589">
        <v>0</v>
      </c>
      <c r="P40" s="591">
        <v>544</v>
      </c>
      <c r="Q40" s="591">
        <v>7005.6</v>
      </c>
      <c r="R40" s="591">
        <v>0</v>
      </c>
      <c r="S40" s="447">
        <f t="shared" si="3"/>
        <v>17319.823</v>
      </c>
      <c r="T40" s="442">
        <f t="shared" si="2"/>
        <v>0</v>
      </c>
      <c r="U40" s="442"/>
      <c r="W40" s="427">
        <v>0</v>
      </c>
    </row>
    <row r="41" spans="2:23">
      <c r="B41" s="420" t="s">
        <v>215</v>
      </c>
      <c r="C41" s="590">
        <v>102209.42200000001</v>
      </c>
      <c r="D41" s="591">
        <v>0</v>
      </c>
      <c r="E41" s="590">
        <v>56315.993000000002</v>
      </c>
      <c r="F41" s="587">
        <v>0</v>
      </c>
      <c r="G41" s="590">
        <v>3086.5129999999999</v>
      </c>
      <c r="H41" s="587">
        <v>53229.48</v>
      </c>
      <c r="I41" s="587">
        <v>0</v>
      </c>
      <c r="J41" s="592">
        <f t="shared" si="1"/>
        <v>0</v>
      </c>
      <c r="K41" s="581">
        <v>26449.200000000001</v>
      </c>
      <c r="L41" s="591">
        <v>0</v>
      </c>
      <c r="M41" s="587">
        <v>2099.4290000000001</v>
      </c>
      <c r="N41" s="587">
        <v>0</v>
      </c>
      <c r="O41" s="587">
        <v>0</v>
      </c>
      <c r="P41" s="587">
        <v>0</v>
      </c>
      <c r="Q41" s="587">
        <v>17344.8</v>
      </c>
      <c r="R41" s="587">
        <v>0</v>
      </c>
      <c r="S41" s="447">
        <f t="shared" si="3"/>
        <v>102209.42200000001</v>
      </c>
      <c r="T41" s="442">
        <f t="shared" si="2"/>
        <v>0</v>
      </c>
      <c r="U41" s="442"/>
      <c r="W41" s="427">
        <v>0</v>
      </c>
    </row>
    <row r="42" spans="2:23" ht="15">
      <c r="B42" s="419" t="s">
        <v>358</v>
      </c>
      <c r="C42" s="590">
        <v>109114.848</v>
      </c>
      <c r="D42" s="589">
        <v>1474.5050000000001</v>
      </c>
      <c r="E42" s="587">
        <v>5622.8</v>
      </c>
      <c r="F42" s="587">
        <v>430.74</v>
      </c>
      <c r="G42" s="587">
        <v>0</v>
      </c>
      <c r="H42" s="590">
        <v>3219.5250000000001</v>
      </c>
      <c r="I42" s="590">
        <v>40.343000000000004</v>
      </c>
      <c r="J42" s="592">
        <f t="shared" si="1"/>
        <v>158.00399999999991</v>
      </c>
      <c r="K42" s="581">
        <v>31468.631999999998</v>
      </c>
      <c r="L42" s="591">
        <v>136</v>
      </c>
      <c r="M42" s="590">
        <v>0</v>
      </c>
      <c r="N42" s="590">
        <v>4616</v>
      </c>
      <c r="O42" s="590">
        <v>3</v>
      </c>
      <c r="P42" s="587">
        <v>6585</v>
      </c>
      <c r="Q42" s="587">
        <v>60969.599999999999</v>
      </c>
      <c r="R42" s="591">
        <v>13.5</v>
      </c>
      <c r="S42" s="447">
        <f t="shared" si="3"/>
        <v>109114.849</v>
      </c>
      <c r="T42" s="442">
        <f t="shared" si="2"/>
        <v>1.0000000038417056E-3</v>
      </c>
      <c r="U42" s="442"/>
      <c r="W42" s="427">
        <v>1774.1880000000001</v>
      </c>
    </row>
    <row r="43" spans="2:23" ht="15">
      <c r="B43" s="421" t="s">
        <v>359</v>
      </c>
      <c r="C43" s="585">
        <v>116855.90000000001</v>
      </c>
      <c r="D43" s="585"/>
      <c r="E43" s="585">
        <v>115375.30000000002</v>
      </c>
      <c r="F43" s="583">
        <v>848.9</v>
      </c>
      <c r="G43" s="583">
        <v>58030.9</v>
      </c>
      <c r="H43" s="583">
        <v>43513.4</v>
      </c>
      <c r="I43" s="583">
        <v>17</v>
      </c>
      <c r="J43" s="583" t="s">
        <v>324</v>
      </c>
      <c r="K43" s="581" t="e">
        <f>#REF!+J43</f>
        <v>#REF!</v>
      </c>
      <c r="L43" s="585"/>
      <c r="M43" s="585">
        <v>0</v>
      </c>
      <c r="N43" s="585"/>
      <c r="O43" s="585"/>
      <c r="P43" s="583" t="s">
        <v>324</v>
      </c>
      <c r="Q43" s="585">
        <v>1427.4</v>
      </c>
      <c r="R43" s="586">
        <v>27.7</v>
      </c>
      <c r="S43" s="447" t="e">
        <f t="shared" si="3"/>
        <v>#REF!</v>
      </c>
      <c r="U43" s="442"/>
    </row>
    <row r="44" spans="2:23">
      <c r="B44" s="420" t="s">
        <v>360</v>
      </c>
      <c r="C44" s="583">
        <v>100725.3</v>
      </c>
      <c r="D44" s="583"/>
      <c r="E44" s="583">
        <v>100725.3</v>
      </c>
      <c r="F44" s="583">
        <v>848.9</v>
      </c>
      <c r="G44" s="583">
        <v>58030.9</v>
      </c>
      <c r="H44" s="583">
        <v>41845.5</v>
      </c>
      <c r="I44" s="583" t="s">
        <v>324</v>
      </c>
      <c r="J44" s="583" t="s">
        <v>324</v>
      </c>
      <c r="K44" s="581" t="e">
        <f>#REF!+J44</f>
        <v>#REF!</v>
      </c>
      <c r="L44" s="583"/>
      <c r="M44" s="583">
        <v>0</v>
      </c>
      <c r="N44" s="583"/>
      <c r="O44" s="583"/>
      <c r="P44" s="583" t="s">
        <v>324</v>
      </c>
      <c r="Q44" s="583" t="s">
        <v>324</v>
      </c>
      <c r="R44" s="584" t="s">
        <v>324</v>
      </c>
      <c r="S44" s="447" t="e">
        <f t="shared" si="3"/>
        <v>#REF!</v>
      </c>
      <c r="U44" s="442"/>
    </row>
    <row r="45" spans="2:23" ht="15">
      <c r="B45" s="419" t="s">
        <v>361</v>
      </c>
      <c r="C45" s="583">
        <v>1543</v>
      </c>
      <c r="D45" s="583"/>
      <c r="E45" s="583">
        <v>349.7</v>
      </c>
      <c r="F45" s="583" t="s">
        <v>324</v>
      </c>
      <c r="G45" s="583" t="s">
        <v>324</v>
      </c>
      <c r="H45" s="583">
        <v>345.5</v>
      </c>
      <c r="I45" s="583">
        <v>4.2</v>
      </c>
      <c r="J45" s="583" t="s">
        <v>324</v>
      </c>
      <c r="K45" s="581" t="e">
        <f>#REF!+J45</f>
        <v>#REF!</v>
      </c>
      <c r="L45" s="583"/>
      <c r="M45" s="583">
        <v>0</v>
      </c>
      <c r="N45" s="583"/>
      <c r="O45" s="583"/>
      <c r="P45" s="583" t="s">
        <v>324</v>
      </c>
      <c r="Q45" s="583">
        <v>1163.5</v>
      </c>
      <c r="R45" s="584">
        <v>27.7</v>
      </c>
      <c r="S45" s="447" t="e">
        <f t="shared" si="3"/>
        <v>#REF!</v>
      </c>
      <c r="U45" s="442"/>
    </row>
    <row r="46" spans="2:23">
      <c r="B46" s="420" t="s">
        <v>362</v>
      </c>
      <c r="C46" s="583">
        <v>12977.999999999998</v>
      </c>
      <c r="D46" s="583"/>
      <c r="E46" s="583">
        <v>12977.999999999998</v>
      </c>
      <c r="F46" s="583" t="s">
        <v>324</v>
      </c>
      <c r="G46" s="583" t="s">
        <v>324</v>
      </c>
      <c r="H46" s="583">
        <v>12.9</v>
      </c>
      <c r="I46" s="583" t="s">
        <v>324</v>
      </c>
      <c r="J46" s="583" t="s">
        <v>324</v>
      </c>
      <c r="K46" s="581" t="e">
        <f>#REF!+J46</f>
        <v>#REF!</v>
      </c>
      <c r="L46" s="583"/>
      <c r="M46" s="583">
        <v>0</v>
      </c>
      <c r="N46" s="583"/>
      <c r="O46" s="583"/>
      <c r="P46" s="583" t="s">
        <v>324</v>
      </c>
      <c r="Q46" s="583" t="s">
        <v>324</v>
      </c>
      <c r="R46" s="584" t="s">
        <v>324</v>
      </c>
      <c r="S46" s="447" t="e">
        <f t="shared" si="3"/>
        <v>#REF!</v>
      </c>
      <c r="U46" s="442"/>
    </row>
    <row r="47" spans="2:23">
      <c r="B47" s="420" t="s">
        <v>363</v>
      </c>
      <c r="C47" s="583">
        <v>1309.5</v>
      </c>
      <c r="D47" s="583"/>
      <c r="E47" s="583">
        <v>1309.5</v>
      </c>
      <c r="F47" s="583" t="s">
        <v>324</v>
      </c>
      <c r="G47" s="583" t="s">
        <v>324</v>
      </c>
      <c r="H47" s="583">
        <v>1309.5</v>
      </c>
      <c r="I47" s="583" t="s">
        <v>324</v>
      </c>
      <c r="J47" s="583" t="s">
        <v>324</v>
      </c>
      <c r="K47" s="581" t="e">
        <f>#REF!+J47</f>
        <v>#REF!</v>
      </c>
      <c r="L47" s="583"/>
      <c r="M47" s="583">
        <v>0</v>
      </c>
      <c r="N47" s="583"/>
      <c r="O47" s="583"/>
      <c r="P47" s="583" t="s">
        <v>324</v>
      </c>
      <c r="Q47" s="583" t="s">
        <v>324</v>
      </c>
      <c r="R47" s="584" t="s">
        <v>324</v>
      </c>
      <c r="S47" s="447" t="e">
        <f t="shared" si="3"/>
        <v>#REF!</v>
      </c>
      <c r="U47" s="442"/>
    </row>
    <row r="48" spans="2:23">
      <c r="B48" s="420" t="s">
        <v>376</v>
      </c>
      <c r="C48" s="583">
        <v>287.29999999999995</v>
      </c>
      <c r="D48" s="583"/>
      <c r="E48" s="583" t="s">
        <v>324</v>
      </c>
      <c r="F48" s="583" t="s">
        <v>324</v>
      </c>
      <c r="G48" s="583" t="s">
        <v>324</v>
      </c>
      <c r="H48" s="583" t="s">
        <v>324</v>
      </c>
      <c r="I48" s="583" t="s">
        <v>324</v>
      </c>
      <c r="J48" s="583" t="s">
        <v>324</v>
      </c>
      <c r="K48" s="581" t="e">
        <f>#REF!+J48</f>
        <v>#REF!</v>
      </c>
      <c r="L48" s="583"/>
      <c r="M48" s="583">
        <v>0</v>
      </c>
      <c r="N48" s="583"/>
      <c r="O48" s="583"/>
      <c r="P48" s="583" t="s">
        <v>324</v>
      </c>
      <c r="Q48" s="583">
        <v>263.89999999999998</v>
      </c>
      <c r="R48" s="584" t="s">
        <v>324</v>
      </c>
      <c r="S48" s="447" t="e">
        <f t="shared" si="3"/>
        <v>#REF!</v>
      </c>
      <c r="U48" s="442"/>
    </row>
    <row r="49" spans="2:21" ht="15">
      <c r="B49" s="422" t="s">
        <v>365</v>
      </c>
      <c r="C49" s="583">
        <v>12.8</v>
      </c>
      <c r="D49" s="583"/>
      <c r="E49" s="583">
        <v>12.8</v>
      </c>
      <c r="F49" s="583" t="s">
        <v>324</v>
      </c>
      <c r="G49" s="583" t="s">
        <v>324</v>
      </c>
      <c r="H49" s="583" t="s">
        <v>324</v>
      </c>
      <c r="I49" s="583">
        <v>12.8</v>
      </c>
      <c r="J49" s="583" t="s">
        <v>324</v>
      </c>
      <c r="K49" s="581" t="e">
        <f>#REF!+J49</f>
        <v>#REF!</v>
      </c>
      <c r="L49" s="583"/>
      <c r="M49" s="583">
        <v>0</v>
      </c>
      <c r="N49" s="583"/>
      <c r="O49" s="583"/>
      <c r="P49" s="583" t="s">
        <v>324</v>
      </c>
      <c r="Q49" s="583" t="s">
        <v>324</v>
      </c>
      <c r="R49" s="584" t="s">
        <v>324</v>
      </c>
      <c r="S49" s="447" t="e">
        <f t="shared" si="3"/>
        <v>#REF!</v>
      </c>
      <c r="U49" s="442"/>
    </row>
    <row r="50" spans="2:21" ht="15">
      <c r="B50" s="421" t="s">
        <v>366</v>
      </c>
      <c r="C50" s="585">
        <v>232306.1</v>
      </c>
      <c r="D50" s="585"/>
      <c r="E50" s="585">
        <v>14639.2</v>
      </c>
      <c r="F50" s="583">
        <v>161.30000000000001</v>
      </c>
      <c r="G50" s="583">
        <v>220.3</v>
      </c>
      <c r="H50" s="583">
        <v>13641.4</v>
      </c>
      <c r="I50" s="583">
        <v>594.70000000000005</v>
      </c>
      <c r="J50" s="583" t="s">
        <v>324</v>
      </c>
      <c r="K50" s="581" t="e">
        <f>#REF!+J50</f>
        <v>#REF!</v>
      </c>
      <c r="L50" s="587"/>
      <c r="M50" s="587">
        <v>0</v>
      </c>
      <c r="N50" s="587"/>
      <c r="O50" s="587"/>
      <c r="P50" s="588"/>
      <c r="Q50" s="585">
        <v>49938.5</v>
      </c>
      <c r="R50" s="586">
        <v>8.3000000000000007</v>
      </c>
      <c r="S50" s="447" t="e">
        <f t="shared" si="3"/>
        <v>#REF!</v>
      </c>
      <c r="U50" s="442"/>
    </row>
    <row r="51" spans="2:21" ht="15">
      <c r="B51" s="419" t="s">
        <v>367</v>
      </c>
      <c r="C51" s="589">
        <v>149608.41699999999</v>
      </c>
      <c r="D51" s="587">
        <v>0</v>
      </c>
      <c r="E51" s="589">
        <v>88423.578999999998</v>
      </c>
      <c r="F51" s="591">
        <v>8830.17</v>
      </c>
      <c r="G51" s="589">
        <v>2367.7359999999999</v>
      </c>
      <c r="H51" s="589">
        <v>77225.672999999995</v>
      </c>
      <c r="I51" s="591">
        <v>0</v>
      </c>
      <c r="J51" s="592">
        <f>E51-SUM(F51:I51)</f>
        <v>0</v>
      </c>
      <c r="K51" s="581">
        <v>10788.3</v>
      </c>
      <c r="L51" s="587">
        <v>23474</v>
      </c>
      <c r="M51" s="591">
        <v>4423.1379999999999</v>
      </c>
      <c r="N51" s="591">
        <v>4242</v>
      </c>
      <c r="O51" s="591">
        <v>0</v>
      </c>
      <c r="P51" s="591">
        <v>0</v>
      </c>
      <c r="Q51" s="591">
        <v>18212.400000000001</v>
      </c>
      <c r="R51" s="591">
        <v>0</v>
      </c>
      <c r="S51" s="447">
        <f t="shared" si="3"/>
        <v>149563.41699999999</v>
      </c>
      <c r="U51" s="442"/>
    </row>
    <row r="52" spans="2:21">
      <c r="B52" s="420" t="s">
        <v>368</v>
      </c>
      <c r="C52" s="583">
        <v>51900.800000000003</v>
      </c>
      <c r="D52" s="583"/>
      <c r="E52" s="583">
        <v>636.6</v>
      </c>
      <c r="F52" s="583">
        <v>19</v>
      </c>
      <c r="G52" s="583" t="s">
        <v>324</v>
      </c>
      <c r="H52" s="583">
        <v>345.5</v>
      </c>
      <c r="I52" s="583">
        <v>254.9</v>
      </c>
      <c r="J52" s="583" t="s">
        <v>324</v>
      </c>
      <c r="K52" s="581" t="e">
        <f>#REF!+J52</f>
        <v>#REF!</v>
      </c>
      <c r="L52" s="583"/>
      <c r="M52" s="583">
        <v>0</v>
      </c>
      <c r="N52" s="583"/>
      <c r="O52" s="583"/>
      <c r="P52" s="583">
        <v>979.3</v>
      </c>
      <c r="Q52" s="583">
        <v>22712.400000000001</v>
      </c>
      <c r="R52" s="584">
        <v>8.3000000000000007</v>
      </c>
      <c r="S52" s="447" t="e">
        <f t="shared" si="3"/>
        <v>#REF!</v>
      </c>
      <c r="U52" s="442"/>
    </row>
    <row r="53" spans="2:21">
      <c r="B53" s="420" t="s">
        <v>369</v>
      </c>
      <c r="C53" s="583">
        <v>158674.6</v>
      </c>
      <c r="D53" s="583"/>
      <c r="E53" s="583">
        <v>491.5</v>
      </c>
      <c r="F53" s="583">
        <v>132.80000000000001</v>
      </c>
      <c r="G53" s="583">
        <v>30.2</v>
      </c>
      <c r="H53" s="583">
        <v>324.2</v>
      </c>
      <c r="I53" s="583" t="s">
        <v>324</v>
      </c>
      <c r="J53" s="583" t="s">
        <v>324</v>
      </c>
      <c r="K53" s="581" t="e">
        <f>#REF!+J53</f>
        <v>#REF!</v>
      </c>
      <c r="L53" s="583"/>
      <c r="M53" s="583">
        <v>0</v>
      </c>
      <c r="N53" s="583"/>
      <c r="O53" s="583"/>
      <c r="P53" s="583">
        <v>5062.1000000000004</v>
      </c>
      <c r="Q53" s="583">
        <v>23104.799999999999</v>
      </c>
      <c r="R53" s="584" t="s">
        <v>324</v>
      </c>
      <c r="S53" s="447" t="e">
        <f t="shared" si="3"/>
        <v>#REF!</v>
      </c>
      <c r="U53" s="442"/>
    </row>
    <row r="54" spans="2:21">
      <c r="B54" s="420" t="s">
        <v>370</v>
      </c>
      <c r="C54" s="583" t="s">
        <v>324</v>
      </c>
      <c r="D54" s="583"/>
      <c r="E54" s="583" t="s">
        <v>324</v>
      </c>
      <c r="F54" s="583" t="s">
        <v>324</v>
      </c>
      <c r="G54" s="583" t="s">
        <v>324</v>
      </c>
      <c r="H54" s="583" t="s">
        <v>324</v>
      </c>
      <c r="I54" s="583" t="s">
        <v>324</v>
      </c>
      <c r="J54" s="583" t="s">
        <v>324</v>
      </c>
      <c r="K54" s="581" t="e">
        <f>#REF!+J54</f>
        <v>#REF!</v>
      </c>
      <c r="L54" s="583"/>
      <c r="M54" s="583">
        <v>0</v>
      </c>
      <c r="N54" s="583"/>
      <c r="O54" s="583"/>
      <c r="P54" s="583" t="s">
        <v>324</v>
      </c>
      <c r="Q54" s="583" t="s">
        <v>324</v>
      </c>
      <c r="R54" s="584" t="s">
        <v>324</v>
      </c>
      <c r="S54" s="447" t="e">
        <f t="shared" si="3"/>
        <v>#REF!</v>
      </c>
      <c r="U54" s="442"/>
    </row>
    <row r="55" spans="2:21" ht="16" thickBot="1">
      <c r="B55" s="423" t="s">
        <v>371</v>
      </c>
      <c r="C55" s="593">
        <v>55460.800000000003</v>
      </c>
      <c r="D55" s="593"/>
      <c r="E55" s="593">
        <v>54077.4</v>
      </c>
      <c r="F55" s="594">
        <v>6943</v>
      </c>
      <c r="G55" s="594" t="s">
        <v>324</v>
      </c>
      <c r="H55" s="594">
        <v>145</v>
      </c>
      <c r="I55" s="594">
        <v>620.20000000000005</v>
      </c>
      <c r="J55" s="594">
        <v>33939.5</v>
      </c>
      <c r="K55" s="581" t="e">
        <f>#REF!+J55</f>
        <v>#REF!</v>
      </c>
      <c r="L55" s="593"/>
      <c r="M55" s="593">
        <v>0</v>
      </c>
      <c r="N55" s="593"/>
      <c r="O55" s="593"/>
      <c r="P55" s="594" t="s">
        <v>324</v>
      </c>
      <c r="Q55" s="594" t="s">
        <v>324</v>
      </c>
      <c r="R55" s="595">
        <v>153</v>
      </c>
      <c r="U55" s="442"/>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979ED4-E73B-4B7C-89FF-5BEB4971B99B}">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5291F183-B16A-4FDB-9E1C-28760DDE148C}">
  <ds:schemaRefs>
    <ds:schemaRef ds:uri="http://schemas.microsoft.com/sharepoint/v3/contenttype/forms"/>
  </ds:schemaRefs>
</ds:datastoreItem>
</file>

<file path=customXml/itemProps3.xml><?xml version="1.0" encoding="utf-8"?>
<ds:datastoreItem xmlns:ds="http://schemas.openxmlformats.org/officeDocument/2006/customXml" ds:itemID="{400CC4FE-8D7D-4A61-8376-CA18CA74DE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LOG</vt:lpstr>
      <vt:lpstr>Intro</vt:lpstr>
      <vt:lpstr>Processes</vt:lpstr>
      <vt:lpstr>Commodities</vt:lpstr>
      <vt:lpstr>Demand</vt:lpstr>
      <vt:lpstr>Agriculture</vt:lpstr>
      <vt:lpstr>AGR_Fuel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2022-03-21T13:54:47Z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