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F418A554-726A-4AEA-8CED-2E8B0DABEE20}" xr6:coauthVersionLast="47" xr6:coauthVersionMax="47" xr10:uidLastSave="{00000000-0000-0000-0000-000000000000}"/>
  <bookViews>
    <workbookView xWindow="-110" yWindow="-110" windowWidth="19420" windowHeight="10420" tabRatio="862" firstSheet="2" activeTab="11"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0" i="269" l="1"/>
  <c r="S16" i="269"/>
  <c r="S12" i="269"/>
  <c r="S8" i="269"/>
  <c r="O79" i="267"/>
  <c r="N79" i="267"/>
  <c r="M79" i="267"/>
  <c r="L79" i="267"/>
  <c r="K79" i="267"/>
  <c r="J79" i="267"/>
  <c r="I79" i="267"/>
  <c r="H79" i="267"/>
  <c r="G79" i="267"/>
  <c r="F79" i="267"/>
  <c r="S70" i="269"/>
  <c r="S62" i="269"/>
  <c r="S54" i="269"/>
  <c r="S46" i="269"/>
  <c r="G57" i="267"/>
  <c r="H57" i="267"/>
  <c r="I57" i="267"/>
  <c r="J57" i="267"/>
  <c r="K57" i="267"/>
  <c r="L57" i="267"/>
  <c r="M57" i="267"/>
  <c r="N57" i="267"/>
  <c r="O57" i="267"/>
  <c r="F57" i="267"/>
  <c r="G36" i="267"/>
  <c r="H36" i="267"/>
  <c r="I36" i="267"/>
  <c r="J36" i="267"/>
  <c r="K36" i="267"/>
  <c r="L36" i="267"/>
  <c r="M36" i="267"/>
  <c r="N36" i="267"/>
  <c r="O36" i="267"/>
  <c r="F36" i="267"/>
  <c r="F40" i="267" l="1"/>
  <c r="G98" i="267" l="1"/>
  <c r="G40" i="267"/>
  <c r="H40" i="267"/>
  <c r="I40" i="267"/>
  <c r="J40" i="267"/>
  <c r="K40" i="267"/>
  <c r="L40" i="267"/>
  <c r="M40" i="267"/>
  <c r="N40" i="267"/>
  <c r="O40" i="267"/>
  <c r="O56" i="267"/>
  <c r="O35" i="267"/>
  <c r="O31" i="267"/>
  <c r="N31" i="267"/>
  <c r="M31" i="267"/>
  <c r="L31" i="267"/>
  <c r="K31" i="267"/>
  <c r="J31" i="267"/>
  <c r="I31" i="267"/>
  <c r="H31" i="267"/>
  <c r="G31" i="267"/>
  <c r="F31" i="267"/>
  <c r="O33" i="267"/>
  <c r="F100" i="267"/>
  <c r="G100" i="267"/>
  <c r="H100" i="267"/>
  <c r="I100" i="267"/>
  <c r="J100" i="267"/>
  <c r="K100" i="267"/>
  <c r="L100" i="267"/>
  <c r="M100" i="267"/>
  <c r="N100" i="267"/>
  <c r="O100" i="267"/>
  <c r="F56" i="267"/>
  <c r="G56" i="267"/>
  <c r="H56" i="267"/>
  <c r="I56" i="267"/>
  <c r="J56" i="267"/>
  <c r="K56" i="267"/>
  <c r="L56" i="267"/>
  <c r="M56" i="267"/>
  <c r="N56" i="267"/>
  <c r="F35" i="267"/>
  <c r="G35" i="267"/>
  <c r="H35" i="267"/>
  <c r="I35" i="267"/>
  <c r="J35" i="267"/>
  <c r="K35" i="267"/>
  <c r="L35" i="267"/>
  <c r="M35" i="267"/>
  <c r="N35" i="267"/>
  <c r="D5" i="273"/>
  <c r="D10" i="264" l="1"/>
  <c r="B17" i="264"/>
  <c r="AJ54" i="264"/>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Y6" i="260" s="1"/>
  <c r="G122" i="267"/>
  <c r="H122" i="267"/>
  <c r="I122" i="267"/>
  <c r="J122" i="267"/>
  <c r="K122" i="267"/>
  <c r="L122" i="267"/>
  <c r="M122" i="267"/>
  <c r="N122" i="267"/>
  <c r="O122"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I11" i="267"/>
  <c r="AK11" i="267" s="1"/>
  <c r="AF5" i="267"/>
  <c r="M22" i="269"/>
  <c r="M18" i="269"/>
  <c r="M14" i="269"/>
  <c r="M10" i="269"/>
  <c r="AM16" i="267" l="1"/>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P112" i="267" s="1"/>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P89" i="267" s="1"/>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9" i="267"/>
  <c r="G88" i="267"/>
  <c r="F88" i="267"/>
  <c r="F90" i="267"/>
  <c r="F91" i="267"/>
  <c r="F92" i="267"/>
  <c r="F93" i="267"/>
  <c r="F102" i="267"/>
  <c r="F94" i="267"/>
  <c r="F95" i="267"/>
  <c r="F96" i="267"/>
  <c r="F97" i="267"/>
  <c r="F98" i="267"/>
  <c r="F99" i="267"/>
  <c r="F89" i="267"/>
  <c r="O67" i="267"/>
  <c r="O68" i="267"/>
  <c r="O69" i="267"/>
  <c r="P69" i="267" s="1"/>
  <c r="O70" i="267"/>
  <c r="O71" i="267"/>
  <c r="O80" i="267"/>
  <c r="O72" i="267"/>
  <c r="P72" i="267" s="1"/>
  <c r="O73" i="267"/>
  <c r="O74" i="267"/>
  <c r="O75" i="267"/>
  <c r="O76" i="267"/>
  <c r="P76" i="267" s="1"/>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P51" i="267" s="1"/>
  <c r="O52" i="267"/>
  <c r="O53" i="267"/>
  <c r="O54" i="267"/>
  <c r="O55" i="267"/>
  <c r="P55" i="267" s="1"/>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P31" i="267"/>
  <c r="O32" i="267"/>
  <c r="P32" i="267" s="1"/>
  <c r="O34" i="267"/>
  <c r="O23" i="267"/>
  <c r="P23" i="267" s="1"/>
  <c r="N24" i="267"/>
  <c r="N25" i="267"/>
  <c r="N26" i="267"/>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5" i="267"/>
  <c r="F26" i="267"/>
  <c r="F28" i="267"/>
  <c r="F37" i="267"/>
  <c r="F29" i="267"/>
  <c r="F30" i="267"/>
  <c r="F32" i="267"/>
  <c r="F33" i="267"/>
  <c r="F23" i="267"/>
  <c r="O127" i="267"/>
  <c r="O126" i="267"/>
  <c r="O124" i="267"/>
  <c r="P124" i="267" s="1"/>
  <c r="O123" i="267"/>
  <c r="O105" i="267"/>
  <c r="O104" i="267"/>
  <c r="O101" i="267"/>
  <c r="O83" i="267"/>
  <c r="O82"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88" i="267" l="1"/>
  <c r="P93" i="267"/>
  <c r="P116" i="267"/>
  <c r="P34" i="267"/>
  <c r="P30" i="267"/>
  <c r="P54" i="267"/>
  <c r="P50" i="267"/>
  <c r="P47" i="267"/>
  <c r="P75" i="267"/>
  <c r="P80" i="267"/>
  <c r="P68" i="267"/>
  <c r="P121" i="267"/>
  <c r="P99" i="267"/>
  <c r="P95" i="267"/>
  <c r="P92" i="267"/>
  <c r="P119" i="267"/>
  <c r="P115" i="267"/>
  <c r="P111" i="267"/>
  <c r="P48" i="267"/>
  <c r="P33" i="267"/>
  <c r="P29" i="267"/>
  <c r="P25" i="267"/>
  <c r="P53" i="267"/>
  <c r="P58" i="267"/>
  <c r="P46" i="267"/>
  <c r="P66" i="267"/>
  <c r="P74" i="267"/>
  <c r="P71" i="267"/>
  <c r="P67" i="267"/>
  <c r="P98" i="267"/>
  <c r="P120" i="267"/>
  <c r="P94" i="267"/>
  <c r="P91" i="267"/>
  <c r="P118" i="267"/>
  <c r="P114" i="267"/>
  <c r="P96" i="267"/>
  <c r="P110" i="267"/>
  <c r="P24" i="267"/>
  <c r="P44" i="267"/>
  <c r="P52" i="267"/>
  <c r="P49" i="267"/>
  <c r="P45" i="267"/>
  <c r="P77" i="267"/>
  <c r="P73" i="267"/>
  <c r="P70" i="267"/>
  <c r="P97" i="267"/>
  <c r="P102" i="267"/>
  <c r="P90" i="267"/>
  <c r="P117" i="267"/>
  <c r="P113" i="267"/>
  <c r="P26" i="267"/>
  <c r="P57" i="267"/>
  <c r="D97" i="231"/>
  <c r="B7" i="232" s="1"/>
  <c r="E128" i="267"/>
  <c r="C84" i="267"/>
  <c r="Z1" i="260"/>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101" i="267" l="1"/>
  <c r="P36" i="267"/>
  <c r="P79" i="267"/>
  <c r="P123" i="267"/>
  <c r="O106"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61" i="267"/>
  <c r="M61" i="267"/>
  <c r="L61" i="267"/>
  <c r="K61" i="267"/>
  <c r="J61" i="267"/>
  <c r="I61" i="267"/>
  <c r="H61" i="267"/>
  <c r="G61" i="267"/>
  <c r="F61" i="267"/>
  <c r="N60" i="267"/>
  <c r="M60" i="267"/>
  <c r="L60" i="267"/>
  <c r="K60" i="267"/>
  <c r="J60" i="267"/>
  <c r="I60" i="267"/>
  <c r="H60" i="267"/>
  <c r="G60" i="267"/>
  <c r="F60" i="267"/>
  <c r="C29" i="266"/>
  <c r="P78" i="267" l="1"/>
  <c r="P100" i="267"/>
  <c r="P35" i="267"/>
  <c r="P122"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8" i="267"/>
  <c r="O103" i="267"/>
  <c r="O125" i="267"/>
  <c r="F78" i="267"/>
  <c r="G78" i="267"/>
  <c r="H78" i="267"/>
  <c r="I78" i="267"/>
  <c r="J78" i="267"/>
  <c r="K78" i="267"/>
  <c r="L78" i="267"/>
  <c r="D7" i="267"/>
  <c r="E7" i="267"/>
  <c r="F7" i="267"/>
  <c r="G7" i="267"/>
  <c r="E8" i="267"/>
  <c r="F8" i="267"/>
  <c r="G8" i="267"/>
  <c r="E5" i="267"/>
  <c r="F5" i="267"/>
  <c r="E6" i="267"/>
  <c r="F6" i="267"/>
  <c r="O7" i="260"/>
  <c r="O128"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G23" i="221" l="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B6" i="260" l="1"/>
  <c r="AE43" i="260"/>
  <c r="Y11" i="270"/>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B11" i="270"/>
  <c r="AC11" i="270"/>
  <c r="AC14" i="270"/>
  <c r="AC10" i="270"/>
  <c r="AB10" i="270"/>
  <c r="AA10" i="270"/>
  <c r="AA14"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I10" i="264" s="1"/>
  <c r="AB11" i="260"/>
  <c r="I11" i="260" l="1"/>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600-00000100000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<sst xmlns="http://schemas.openxmlformats.org/spreadsheetml/2006/main" count="4838" uniqueCount="961">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</sst>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5"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3">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165" fontId="86" fillId="0" borderId="0" xfId="38" applyFont="1" applyFill="1" applyBorder="1"/>
    <xf numFmtId="174"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165" fontId="86" fillId="0" borderId="0" xfId="38" applyFont="1" applyBorder="1"/>
    <xf numFmtId="172"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7"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43"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165"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165"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165" fontId="86" fillId="0" borderId="0" xfId="0" applyNumberFormat="1" applyFont="1"/>
    <xf numFmtId="194" fontId="119" fillId="0" borderId="0" xfId="4350" applyNumberFormat="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0100000}"/>
    <cellStyle name="Procent 2 2" xfId="3355" xr:uid="{00000000-0005-0000-0000-0000A1100000}"/>
    <cellStyle name="Procent 2 2 2" xfId="4265" xr:uid="{00000000-0005-0000-0000-0000A2100000}"/>
    <cellStyle name="Procent 2 2 3" xfId="4266" xr:uid="{00000000-0005-0000-0000-0000A3100000}"/>
    <cellStyle name="Procent 3" xfId="3356" xr:uid="{00000000-0005-0000-0000-0000A4100000}"/>
    <cellStyle name="Procent 3 2" xfId="3357" xr:uid="{00000000-0005-0000-0000-0000A5100000}"/>
    <cellStyle name="Procent 3 2 2" xfId="4267" xr:uid="{00000000-0005-0000-0000-0000A6100000}"/>
    <cellStyle name="Procent 3 3" xfId="4268" xr:uid="{00000000-0005-0000-0000-0000A7100000}"/>
    <cellStyle name="Procent 4" xfId="3358" xr:uid="{00000000-0005-0000-0000-0000A8100000}"/>
    <cellStyle name="Procent 4 2" xfId="3359" xr:uid="{00000000-0005-0000-0000-0000A9100000}"/>
    <cellStyle name="Standard_Sce_D_Extraction" xfId="1797" xr:uid="{00000000-0005-0000-0000-0000AA100000}"/>
    <cellStyle name="Style 155" xfId="4269" xr:uid="{00000000-0005-0000-0000-0000AB100000}"/>
    <cellStyle name="Style 156" xfId="4270" xr:uid="{00000000-0005-0000-0000-0000AC100000}"/>
    <cellStyle name="Style 157" xfId="4271" xr:uid="{00000000-0005-0000-0000-0000AD100000}"/>
    <cellStyle name="Style 158" xfId="4272" xr:uid="{00000000-0005-0000-0000-0000AE100000}"/>
    <cellStyle name="Style 159" xfId="4273" xr:uid="{00000000-0005-0000-0000-0000AF100000}"/>
    <cellStyle name="Style 161" xfId="4274" xr:uid="{00000000-0005-0000-0000-0000B0100000}"/>
    <cellStyle name="Style 162" xfId="4275" xr:uid="{00000000-0005-0000-0000-0000B1100000}"/>
    <cellStyle name="Style 163" xfId="4276" xr:uid="{00000000-0005-0000-0000-0000B2100000}"/>
    <cellStyle name="Style 223" xfId="4277" xr:uid="{00000000-0005-0000-0000-0000B3100000}"/>
    <cellStyle name="Style 224" xfId="4278" xr:uid="{00000000-0005-0000-0000-0000B4100000}"/>
    <cellStyle name="Style 225" xfId="4279" xr:uid="{00000000-0005-0000-0000-0000B5100000}"/>
    <cellStyle name="Style 226" xfId="4280" xr:uid="{00000000-0005-0000-0000-0000B6100000}"/>
    <cellStyle name="Style 227" xfId="4281" xr:uid="{00000000-0005-0000-0000-0000B7100000}"/>
    <cellStyle name="Style 229" xfId="4282" xr:uid="{00000000-0005-0000-0000-0000B8100000}"/>
    <cellStyle name="Style 230" xfId="4283" xr:uid="{00000000-0005-0000-0000-0000B9100000}"/>
    <cellStyle name="Style 231" xfId="4284" xr:uid="{00000000-0005-0000-0000-0000BA100000}"/>
    <cellStyle name="Style 257" xfId="4285" xr:uid="{00000000-0005-0000-0000-0000BB100000}"/>
    <cellStyle name="Style 258" xfId="4286" xr:uid="{00000000-0005-0000-0000-0000BC100000}"/>
    <cellStyle name="Style 259" xfId="4287" xr:uid="{00000000-0005-0000-0000-0000BD100000}"/>
    <cellStyle name="Style 260" xfId="4288" xr:uid="{00000000-0005-0000-0000-0000BE100000}"/>
    <cellStyle name="Style 261" xfId="4289" xr:uid="{00000000-0005-0000-0000-0000BF100000}"/>
    <cellStyle name="Style 263" xfId="4290" xr:uid="{00000000-0005-0000-0000-0000C0100000}"/>
    <cellStyle name="Style 264" xfId="4291" xr:uid="{00000000-0005-0000-0000-0000C1100000}"/>
    <cellStyle name="Style 265" xfId="4292" xr:uid="{00000000-0005-0000-0000-0000C2100000}"/>
    <cellStyle name="Style 461" xfId="4293" xr:uid="{00000000-0005-0000-0000-0000C3100000}"/>
    <cellStyle name="Style 467" xfId="4294" xr:uid="{00000000-0005-0000-0000-0000C4100000}"/>
    <cellStyle name="Style 468" xfId="4295" xr:uid="{00000000-0005-0000-0000-0000C5100000}"/>
    <cellStyle name="Style 469" xfId="4296" xr:uid="{00000000-0005-0000-0000-0000C6100000}"/>
    <cellStyle name="Style 478" xfId="4297" xr:uid="{00000000-0005-0000-0000-0000C7100000}"/>
    <cellStyle name="Style 479" xfId="4298" xr:uid="{00000000-0005-0000-0000-0000C8100000}"/>
    <cellStyle name="Style 480" xfId="4299" xr:uid="{00000000-0005-0000-0000-0000C9100000}"/>
    <cellStyle name="Style 481" xfId="4300" xr:uid="{00000000-0005-0000-0000-0000CA100000}"/>
    <cellStyle name="Style 482" xfId="4301" xr:uid="{00000000-0005-0000-0000-0000CB100000}"/>
    <cellStyle name="Style 484" xfId="4302" xr:uid="{00000000-0005-0000-0000-0000CC100000}"/>
    <cellStyle name="Style 485" xfId="4303" xr:uid="{00000000-0005-0000-0000-0000CD100000}"/>
    <cellStyle name="Style 486" xfId="4304" xr:uid="{00000000-0005-0000-0000-0000CE100000}"/>
    <cellStyle name="Style 495" xfId="4305" xr:uid="{00000000-0005-0000-0000-0000CF100000}"/>
    <cellStyle name="Style 496" xfId="4306" xr:uid="{00000000-0005-0000-0000-0000D0100000}"/>
    <cellStyle name="Style 497" xfId="4307" xr:uid="{00000000-0005-0000-0000-0000D1100000}"/>
    <cellStyle name="Style 498" xfId="4308" xr:uid="{00000000-0005-0000-0000-0000D2100000}"/>
    <cellStyle name="Style 499" xfId="4309" xr:uid="{00000000-0005-0000-0000-0000D3100000}"/>
    <cellStyle name="Style 501" xfId="4310" xr:uid="{00000000-0005-0000-0000-0000D4100000}"/>
    <cellStyle name="Style 502" xfId="4311" xr:uid="{00000000-0005-0000-0000-0000D5100000}"/>
    <cellStyle name="Style 503" xfId="4312" xr:uid="{00000000-0005-0000-0000-0000D6100000}"/>
    <cellStyle name="Style 580" xfId="4313" xr:uid="{00000000-0005-0000-0000-0000D7100000}"/>
    <cellStyle name="Style 581" xfId="4314" xr:uid="{00000000-0005-0000-0000-0000D8100000}"/>
    <cellStyle name="Style 582" xfId="4315" xr:uid="{00000000-0005-0000-0000-0000D9100000}"/>
    <cellStyle name="Style 583" xfId="4316" xr:uid="{00000000-0005-0000-0000-0000DA100000}"/>
    <cellStyle name="Style 584" xfId="4317" xr:uid="{00000000-0005-0000-0000-0000DB100000}"/>
    <cellStyle name="Style 586" xfId="4318" xr:uid="{00000000-0005-0000-0000-0000DC100000}"/>
    <cellStyle name="Style 587" xfId="4319" xr:uid="{00000000-0005-0000-0000-0000DD100000}"/>
    <cellStyle name="Style 588" xfId="4320" xr:uid="{00000000-0005-0000-0000-0000DE100000}"/>
    <cellStyle name="Testo avviso" xfId="1798" xr:uid="{00000000-0005-0000-0000-0000DF100000}"/>
    <cellStyle name="Testo descrittivo" xfId="1799" xr:uid="{00000000-0005-0000-0000-0000E0100000}"/>
    <cellStyle name="Titolo" xfId="1800" xr:uid="{00000000-0005-0000-0000-0000E1100000}"/>
    <cellStyle name="Titolo 1" xfId="1801" xr:uid="{00000000-0005-0000-0000-0000E2100000}"/>
    <cellStyle name="Titolo 1 2" xfId="4321" xr:uid="{00000000-0005-0000-0000-0000E3100000}"/>
    <cellStyle name="Titolo 1 3" xfId="4322" xr:uid="{00000000-0005-0000-0000-0000E4100000}"/>
    <cellStyle name="Titolo 2" xfId="1802" xr:uid="{00000000-0005-0000-0000-0000E5100000}"/>
    <cellStyle name="Titolo 2 2" xfId="4323" xr:uid="{00000000-0005-0000-0000-0000E6100000}"/>
    <cellStyle name="Titolo 2 3" xfId="4324" xr:uid="{00000000-0005-0000-0000-0000E7100000}"/>
    <cellStyle name="Titolo 3" xfId="1803" xr:uid="{00000000-0005-0000-0000-0000E8100000}"/>
    <cellStyle name="Titolo 3 2" xfId="1804" xr:uid="{00000000-0005-0000-0000-0000E9100000}"/>
    <cellStyle name="Titolo 3 2 2" xfId="4325" xr:uid="{00000000-0005-0000-0000-0000EA100000}"/>
    <cellStyle name="Titolo 3 3" xfId="4326" xr:uid="{00000000-0005-0000-0000-0000EB100000}"/>
    <cellStyle name="Titolo 4" xfId="1805" xr:uid="{00000000-0005-0000-0000-0000EC100000}"/>
    <cellStyle name="Total 2" xfId="4327" xr:uid="{00000000-0005-0000-0000-0000ED100000}"/>
    <cellStyle name="Total 2 2" xfId="4328" xr:uid="{00000000-0005-0000-0000-0000EE100000}"/>
    <cellStyle name="Totale" xfId="1806" xr:uid="{00000000-0005-0000-0000-0000EF100000}"/>
    <cellStyle name="Totale 2" xfId="1807" xr:uid="{00000000-0005-0000-0000-0000F0100000}"/>
    <cellStyle name="Totale 2 2" xfId="4329" xr:uid="{00000000-0005-0000-0000-0000F1100000}"/>
    <cellStyle name="Totale 2 3" xfId="4330" xr:uid="{00000000-0005-0000-0000-0000F2100000}"/>
    <cellStyle name="Totale 3" xfId="1808" xr:uid="{00000000-0005-0000-0000-0000F3100000}"/>
    <cellStyle name="Totale 3 2" xfId="4331" xr:uid="{00000000-0005-0000-0000-0000F4100000}"/>
    <cellStyle name="Totale 3 3" xfId="4332" xr:uid="{00000000-0005-0000-0000-0000F5100000}"/>
    <cellStyle name="Totale 4" xfId="1809" xr:uid="{00000000-0005-0000-0000-0000F6100000}"/>
    <cellStyle name="Totale 4 2" xfId="4333" xr:uid="{00000000-0005-0000-0000-0000F7100000}"/>
    <cellStyle name="Totale 5" xfId="1810" xr:uid="{00000000-0005-0000-0000-0000F8100000}"/>
    <cellStyle name="Totale 6" xfId="1811" xr:uid="{00000000-0005-0000-0000-0000F9100000}"/>
    <cellStyle name="Totale 7" xfId="4334" xr:uid="{00000000-0005-0000-0000-0000FA100000}"/>
    <cellStyle name="Uncertain" xfId="3360" xr:uid="{00000000-0005-0000-0000-0000FB100000}"/>
    <cellStyle name="Valore non valido" xfId="1812" xr:uid="{00000000-0005-0000-0000-0000FC100000}"/>
    <cellStyle name="Valore valido" xfId="1813" xr:uid="{00000000-0005-0000-0000-0000FD100000}"/>
    <cellStyle name="Years" xfId="3361" xr:uid="{00000000-0005-0000-0000-0000FE100000}"/>
    <cellStyle name="Обычный_CRF2002 (1)" xfId="1814" xr:uid="{00000000-0005-0000-0000-0000FF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3"/>
  <sheetViews>
    <sheetView zoomScale="55" zoomScaleNormal="55" workbookViewId="0">
      <selection activeCell="S20" sqref="S20"/>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18"/>
  <sheetViews>
    <sheetView topLeftCell="A18" zoomScale="85" zoomScaleNormal="85" workbookViewId="0">
      <selection activeCell="D28" sqref="D28"/>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6"/>
      <c r="M4" s="657"/>
      <c r="N4" s="657"/>
      <c r="O4" s="657"/>
      <c r="P4" s="657"/>
      <c r="Q4" s="657"/>
      <c r="R4" s="657"/>
      <c r="S4" s="657"/>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B1:I37"/>
  <sheetViews>
    <sheetView topLeftCell="A4" zoomScaleNormal="100" workbookViewId="0">
      <selection activeCell="D8" sqref="D8"/>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D1576"/>
  <sheetViews>
    <sheetView topLeftCell="H1" zoomScale="80" zoomScaleNormal="80" workbookViewId="0">
      <selection activeCell="X8" sqref="X8"/>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1:BA1643"/>
  <sheetViews>
    <sheetView topLeftCell="M1" zoomScale="55" zoomScaleNormal="55" workbookViewId="0">
      <selection activeCell="V6" sqref="V6"/>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9.36328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1" width="13.6328125" style="227" customWidth="1"/>
    <col min="22" max="22" width="24" style="227" customWidth="1"/>
    <col min="23"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2458.0724340000002</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1929.3464490000001</v>
      </c>
      <c r="AD2" s="227"/>
    </row>
    <row r="3" spans="2:53" ht="13.5"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44146.6</v>
      </c>
      <c r="J6" s="250">
        <f>ROUNDUP(AC6/($O6*$P6)*$R6,1)</f>
        <v>0</v>
      </c>
      <c r="K6" s="250">
        <f>ROUNDUP(AD6/($O6*$P6)*$R6,1)</f>
        <v>0</v>
      </c>
      <c r="L6" s="461">
        <v>0.72</v>
      </c>
      <c r="M6" s="461">
        <v>0.72</v>
      </c>
      <c r="N6" s="461">
        <v>0.72</v>
      </c>
      <c r="O6" s="244">
        <f>31.536/1000</f>
        <v>3.1536000000000002E-2</v>
      </c>
      <c r="P6" s="460">
        <v>0.2</v>
      </c>
      <c r="Q6" s="245">
        <v>22</v>
      </c>
      <c r="R6" s="227">
        <v>1.05</v>
      </c>
      <c r="T6" s="268">
        <f>SUM(I6:K6)*O6*P6/L6</f>
        <v>386.72421600000007</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24717.8</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219.57761712676063</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12423.800000000001</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120.55286713865827</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114.81174726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74.62766211876162</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36790.299999999996</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293.72630400000003</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20889.199999999997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166.77514207594936</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9726.5</v>
      </c>
      <c r="J19" s="250">
        <f t="shared" si="12"/>
        <v>0</v>
      </c>
      <c r="K19" s="250">
        <f t="shared" si="13"/>
        <v>0</v>
      </c>
      <c r="L19" s="462">
        <v>0.67</v>
      </c>
      <c r="M19" s="462">
        <v>0.67</v>
      </c>
      <c r="N19" s="462">
        <v>0.67</v>
      </c>
      <c r="O19" s="244">
        <f>31.536/1000</f>
        <v>3.1536000000000002E-2</v>
      </c>
      <c r="P19" s="460">
        <v>0.2</v>
      </c>
      <c r="Q19" s="245">
        <v>20</v>
      </c>
      <c r="R19" s="227">
        <v>1.05</v>
      </c>
      <c r="T19" s="268">
        <f t="shared" si="5"/>
        <v>91.562657910447768</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87.202255657000009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58.425511290190009</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25962.5</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227.43150000000003</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14536.5</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129.13325746478876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7306.4000000000005</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70.896784273885018</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67.520241841000001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43.888172722224091</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1614.6999999999998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12.891437772151898</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916.80000000000007</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7.3195455189873435</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426.90000000000003</v>
      </c>
      <c r="J39" s="250">
        <f t="shared" si="28"/>
        <v>0</v>
      </c>
      <c r="K39" s="250">
        <f t="shared" si="29"/>
        <v>0</v>
      </c>
      <c r="L39" s="462">
        <v>0.67</v>
      </c>
      <c r="M39" s="462">
        <v>0.67</v>
      </c>
      <c r="N39" s="462">
        <v>0.67</v>
      </c>
      <c r="O39" s="244">
        <f>31.536/1000</f>
        <v>3.1536000000000002E-2</v>
      </c>
      <c r="P39" s="460">
        <v>0.2</v>
      </c>
      <c r="Q39" s="245">
        <v>20</v>
      </c>
      <c r="R39" s="227">
        <v>1.05</v>
      </c>
      <c r="T39" s="268">
        <f t="shared" si="5"/>
        <v>4.0187219104477618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3.8270582420000006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2.5641290221400004</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1929.3464490000001</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0</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36684.400000000001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321.35534400000006</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20482.5</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181.95383661971834</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10168.300000000001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98.66689088089143</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90.520052280000002</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58.838054796140177</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0</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30571.5</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244.07666430379749</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17309.8</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138.19793741772153</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7960.7000000000007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74.939891104477624</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68.752134945999998</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46.063930413820003</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0</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21573.899999999998</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188.98736400000001</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124.83561211055998</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12045.7</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107.00653385915496</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69.701003089769998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5980</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58.026219473041778</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53.234411697999995</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34.602379844396722</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0</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0</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1341.6999999999998</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10.711861063291138</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7.7636182520399997</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759.7</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6.0652909367088617</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4.3958093982600008</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349.40000000000003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3.2891577313432845</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3.0173350760000002</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2.0216145009200002</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0</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39078.1</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342.32415600000002</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234.73641421439999</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16381.300000000001</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145.52131740845076</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98.399883023399994</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9866.1</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95.734529087454433</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91.174996499999992</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59.263768689737752</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0</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0</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32566.399999999998</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260.00354187341776</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195.62144095956003</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13843.9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110.52689377215191</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83.15813051887001</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7724.1</v>
      </c>
      <c r="J99" s="250">
        <f t="shared" si="163"/>
        <v>0</v>
      </c>
      <c r="K99" s="250">
        <f t="shared" si="164"/>
        <v>0</v>
      </c>
      <c r="L99" s="462">
        <v>0.67</v>
      </c>
      <c r="M99" s="462">
        <v>0.67</v>
      </c>
      <c r="N99" s="462">
        <v>0.67</v>
      </c>
      <c r="O99" s="244">
        <f>31.536/1000</f>
        <v>3.1536000000000002E-2</v>
      </c>
      <c r="P99" s="460">
        <v>0.2</v>
      </c>
      <c r="Q99" s="245">
        <v>20</v>
      </c>
      <c r="R99" s="227">
        <v>1.05</v>
      </c>
      <c r="T99" s="268">
        <f t="shared" si="105"/>
        <v>72.712602268656724</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69.249580675000004</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46.397219052250009</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0</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0</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22981.699999999997</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201.31969199999997</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138.04736740704001</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9633.8000000000011</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85.580708957746495</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57.868502635190005</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5802.2000000000007</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56.300958298742977</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53.619581275000002</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34.852740158012445</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1429.3</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11.411241721518989</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8.5852670013600001</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607.6</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4.8509553417721518</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3.64957312622</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339</v>
      </c>
      <c r="J119" s="250">
        <f t="shared" si="198"/>
        <v>0</v>
      </c>
      <c r="K119" s="250">
        <f t="shared" si="199"/>
        <v>0</v>
      </c>
      <c r="L119" s="462">
        <v>0.67</v>
      </c>
      <c r="M119" s="462">
        <v>0.67</v>
      </c>
      <c r="N119" s="462">
        <v>0.67</v>
      </c>
      <c r="O119" s="244">
        <f>31.536/1000</f>
        <v>3.1536000000000002E-2</v>
      </c>
      <c r="P119" s="460">
        <v>0.2</v>
      </c>
      <c r="Q119" s="245">
        <v>20</v>
      </c>
      <c r="R119" s="227">
        <v>1.05</v>
      </c>
      <c r="T119" s="268">
        <f t="shared" si="105"/>
        <v>3.1912549253731339</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3.03916655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2.0362415885000003</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0</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38862.699999999997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340.43725200000006</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233.44240560479994</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19341</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171.81345802816904</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116.1783985404</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10181</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98.790123821912758</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94.085017739999998</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61.155283164866731</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32386.899999999998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258.57045022784808</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194.54305766026999</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16345.2</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130.49676637974684</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98.182824333220012</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7970.6</v>
      </c>
      <c r="J139" s="250">
        <f t="shared" si="232"/>
        <v>0</v>
      </c>
      <c r="K139" s="250">
        <f t="shared" si="233"/>
        <v>0</v>
      </c>
      <c r="L139" s="462">
        <v>0.67</v>
      </c>
      <c r="M139" s="462">
        <v>0.67</v>
      </c>
      <c r="N139" s="462">
        <v>0.67</v>
      </c>
      <c r="O139" s="244">
        <f>31.536/1000</f>
        <v>3.1536000000000002E-2</v>
      </c>
      <c r="P139" s="460">
        <v>0.2</v>
      </c>
      <c r="Q139" s="245">
        <v>20</v>
      </c>
      <c r="R139" s="227">
        <v>1.05</v>
      </c>
      <c r="T139" s="268">
        <f t="shared" si="212"/>
        <v>75.033087044776124</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71.459811092999999</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47.878073432310003</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0</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0</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22855</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200.20980000000003</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137.28636710567997</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11374.4</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101.04312067605635</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68.323962951140004</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5987.4000000000005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58.09802449379437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55.330950908999995</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35.965130813624</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0</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0</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1421.3999999999999</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11.348169721518987</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8.5379398346199995</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717.4</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5.727576303797469</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4.3089640773200006</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349.90000000000003</v>
      </c>
      <c r="J159" s="250">
        <f t="shared" si="268"/>
        <v>0</v>
      </c>
      <c r="K159" s="250">
        <f t="shared" si="269"/>
        <v>0</v>
      </c>
      <c r="L159" s="462">
        <v>0.67</v>
      </c>
      <c r="M159" s="462">
        <v>0.67</v>
      </c>
      <c r="N159" s="462">
        <v>0.67</v>
      </c>
      <c r="O159" s="244">
        <f>31.536/1000</f>
        <v>3.1536000000000002E-2</v>
      </c>
      <c r="P159" s="460">
        <v>0.2</v>
      </c>
      <c r="Q159" s="245">
        <v>20</v>
      </c>
      <c r="R159" s="227">
        <v>1.05</v>
      </c>
      <c r="T159" s="268">
        <f t="shared" si="212"/>
        <v>3.2938645970149256</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3.136167258</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2.1012320628600003</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0</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233.44240560479994</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116.1783985404</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94.085017739999998</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61.155283164866731</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0</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194.54305766026999</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98.182824333220012</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71.459811092999999</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47.878073432310003</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0</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137.28636710567997</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68.323962951140004</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55.330950908999995</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35.965130813624</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0</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8.5379398346199995</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4.3089640773200006</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3.136167258</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2.1012320628600003</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9"/>
  <sheetViews>
    <sheetView zoomScale="60" zoomScaleNormal="60" workbookViewId="0">
      <selection activeCell="AZ26" sqref="AZ26"/>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14" width="15.1796875" style="156" customWidth="1"/>
    <col min="15" max="19" width="8.6328125" style="156" customWidth="1"/>
    <col min="20" max="20" width="10.81640625" style="156" customWidth="1"/>
    <col min="21"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 style="147" customWidth="1"/>
    <col min="58" max="58" width="14" style="147" customWidth="1"/>
    <col min="59" max="16384" width="9.1796875" style="147"/>
  </cols>
  <sheetData>
    <row r="1" spans="1:70" ht="13">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v>
      </c>
      <c r="AJ9" s="523" t="e">
        <f t="shared" si="9"/>
        <v>#DIV/0!</v>
      </c>
      <c r="AK9" s="523" t="e">
        <f t="shared" si="9"/>
        <v>#DIV/0!</v>
      </c>
      <c r="AL9" s="523">
        <f>AL10/2</f>
        <v>1.4462699999999999</v>
      </c>
      <c r="AM9" s="523" t="e">
        <f t="shared" si="9"/>
        <v>#DIV/0!</v>
      </c>
      <c r="AN9" s="523" t="e">
        <f t="shared" si="9"/>
        <v>#DIV/0!</v>
      </c>
      <c r="AO9" s="523">
        <f t="shared" si="9"/>
        <v>1.4749999999999999</v>
      </c>
      <c r="AP9" s="523" t="e">
        <f t="shared" si="9"/>
        <v>#DIV/0!</v>
      </c>
      <c r="AQ9" s="523" t="e">
        <f t="shared" si="9"/>
        <v>#DIV/0!</v>
      </c>
      <c r="AR9" s="523">
        <f t="shared" si="9"/>
        <v>1.39</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v>
      </c>
      <c r="AJ10" s="524" t="e">
        <f>ROUNDUP(SUM(I9:I15)/SUM(Boilers_DR!AC6:AC15),2)</f>
        <v>#DIV/0!</v>
      </c>
      <c r="AK10" s="524" t="e">
        <f>ROUNDUP(SUM(J9:J15)/SUM(Boilers_DR!AD6:AD15),2)</f>
        <v>#DIV/0!</v>
      </c>
      <c r="AL10" s="524">
        <f>ROUNDUP(SUM(K9:K15)/SUM(Boilers_DR!AB46:AB55),2)*AL3</f>
        <v>2.8925399999999999</v>
      </c>
      <c r="AM10" s="524" t="e">
        <f>ROUNDUP(SUM(L9:L15)/SUM(Boilers_DR!AC46:AC55),2)*AM3</f>
        <v>#DIV/0!</v>
      </c>
      <c r="AN10" s="524" t="e">
        <f>ROUNDUP(SUM(M9:M15)/SUM(Boilers_DR!AD46:AD55),2)*AN3</f>
        <v>#DIV/0!</v>
      </c>
      <c r="AO10" s="524">
        <f>ROUNDUP(SUM(N9:N15)/SUM(Boilers_DR!AB86:AB95),2)</f>
        <v>2.9499999999999997</v>
      </c>
      <c r="AP10" s="524" t="e">
        <f>ROUNDUP(SUM(O9:O15)/SUM(Boilers_DR!AC86:AC95),2)</f>
        <v>#DIV/0!</v>
      </c>
      <c r="AQ10" s="524" t="e">
        <f>ROUNDUP(SUM(P9:P15)/SUM(Boilers_DR!AD86:AD95),2)</f>
        <v>#DIV/0!</v>
      </c>
      <c r="AR10" s="524">
        <f>ROUNDUP(SUM(N9:N15)/SUM(Boilers_DR!AB126:AB135),2)</f>
        <v>2.78</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607.76495726495739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3.1749999999999998</v>
      </c>
      <c r="AJ11" s="524" t="e">
        <f t="shared" si="16"/>
        <v>#DIV/0!</v>
      </c>
      <c r="AK11" s="524" t="e">
        <f t="shared" si="16"/>
        <v>#DIV/0!</v>
      </c>
      <c r="AL11" s="524">
        <f t="shared" si="16"/>
        <v>3.4512700000000001</v>
      </c>
      <c r="AM11" s="524" t="e">
        <f t="shared" si="16"/>
        <v>#DIV/0!</v>
      </c>
      <c r="AN11" s="524" t="e">
        <f t="shared" si="16"/>
        <v>#DIV/0!</v>
      </c>
      <c r="AO11" s="524">
        <f t="shared" si="16"/>
        <v>3.4799999999999995</v>
      </c>
      <c r="AP11" s="524" t="e">
        <f t="shared" si="16"/>
        <v>#DIV/0!</v>
      </c>
      <c r="AQ11" s="524" t="e">
        <f t="shared" si="16"/>
        <v>#DIV/0!</v>
      </c>
      <c r="AR11" s="524">
        <f t="shared" ref="AR11:AT11" si="17">AR10/2+AR12/2</f>
        <v>3.3949999999999996</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1.0899999999999999</v>
      </c>
      <c r="AJ16" s="523" t="e">
        <f t="shared" si="21"/>
        <v>#DIV/0!</v>
      </c>
      <c r="AK16" s="523" t="e">
        <f t="shared" si="21"/>
        <v>#DIV/0!</v>
      </c>
      <c r="AL16" s="523">
        <f t="shared" si="21"/>
        <v>1.34687</v>
      </c>
      <c r="AM16" s="523" t="e">
        <f t="shared" si="21"/>
        <v>#DIV/0!</v>
      </c>
      <c r="AN16" s="523" t="e">
        <f t="shared" si="21"/>
        <v>#DIV/0!</v>
      </c>
      <c r="AO16" s="523">
        <f t="shared" si="21"/>
        <v>1.375</v>
      </c>
      <c r="AP16" s="523" t="e">
        <f t="shared" si="21"/>
        <v>#DIV/0!</v>
      </c>
      <c r="AQ16" s="523" t="e">
        <f t="shared" si="21"/>
        <v>#DIV/0!</v>
      </c>
      <c r="AR16" s="523">
        <f t="shared" si="21"/>
        <v>1.3199999999999998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2.1799999999999997</v>
      </c>
      <c r="AJ17" s="524" t="e">
        <f>ROUNDUP(SUM(I16:I22)/SUM(Boilers_DR!AC16:AC25),2)</f>
        <v>#DIV/0!</v>
      </c>
      <c r="AK17" s="524" t="e">
        <f>ROUNDUP(SUM(J16:J22)/SUM(Boilers_DR!AD16:AD25),2)</f>
        <v>#DIV/0!</v>
      </c>
      <c r="AL17" s="524">
        <f>ROUNDUP(SUM(K16:K22)/SUM(Boilers_DR!AB56:AB65),2)*AL3</f>
        <v>2.69374</v>
      </c>
      <c r="AM17" s="524" t="e">
        <f>ROUNDUP(SUM(L16:L22)/SUM(Boilers_DR!AC56:AC65),2)*AM3</f>
        <v>#DIV/0!</v>
      </c>
      <c r="AN17" s="524" t="e">
        <f>ROUNDUP(SUM(M16:M22)/SUM(Boilers_DR!AD56:AD65),2)*AN3</f>
        <v>#DIV/0!</v>
      </c>
      <c r="AO17" s="524">
        <f>ROUNDUP(SUM(N16:N22)/SUM(Boilers_DR!AB96:AB105),2)</f>
        <v>2.75</v>
      </c>
      <c r="AP17" s="524" t="e">
        <f>ROUNDUP(SUM(O16:O22)/SUM(Boilers_DR!AC96:AC105),2)</f>
        <v>#DIV/0!</v>
      </c>
      <c r="AQ17" s="524" t="e">
        <f>ROUNDUP(SUM(P16:P22)/SUM(Boilers_DR!AD96:AD105),2)</f>
        <v>#DIV/0!</v>
      </c>
      <c r="AR17" s="524">
        <f>ROUNDUP(SUM(N16:N22)/SUM(Boilers_DR!AB136:AB145),2)</f>
        <v>2.6399999999999997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496.68807339449546</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3.0949999999999998</v>
      </c>
      <c r="AJ18" s="524" t="e">
        <f t="shared" si="27"/>
        <v>#DIV/0!</v>
      </c>
      <c r="AK18" s="524" t="e">
        <f t="shared" si="27"/>
        <v>#DIV/0!</v>
      </c>
      <c r="AL18" s="524">
        <f t="shared" si="27"/>
        <v>3.3518699999999999</v>
      </c>
      <c r="AM18" s="524" t="e">
        <f t="shared" si="27"/>
        <v>#DIV/0!</v>
      </c>
      <c r="AN18" s="524" t="e">
        <f t="shared" si="27"/>
        <v>#DIV/0!</v>
      </c>
      <c r="AO18" s="524">
        <f t="shared" si="27"/>
        <v>3.38</v>
      </c>
      <c r="AP18" s="524" t="e">
        <f t="shared" si="27"/>
        <v>#DIV/0!</v>
      </c>
      <c r="AQ18" s="524" t="e">
        <f t="shared" si="27"/>
        <v>#DIV/0!</v>
      </c>
      <c r="AR18" s="524">
        <f t="shared" ref="AR18:AT18" si="28">AR17/2+AR19/2</f>
        <v>3.3249999999999997</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8"/>
      <c r="BM19" s="658"/>
      <c r="BN19" s="658"/>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1.3949999999999998</v>
      </c>
      <c r="AJ23" s="523" t="e">
        <f t="shared" si="31"/>
        <v>#DIV/0!</v>
      </c>
      <c r="AK23" s="523" t="e">
        <f t="shared" si="31"/>
        <v>#DIV/0!</v>
      </c>
      <c r="AL23" s="523">
        <f t="shared" si="31"/>
        <v>1.7245899999999998</v>
      </c>
      <c r="AM23" s="523" t="e">
        <f t="shared" si="31"/>
        <v>#DIV/0!</v>
      </c>
      <c r="AN23" s="523" t="e">
        <f t="shared" si="31"/>
        <v>#DIV/0!</v>
      </c>
      <c r="AO23" s="523">
        <f t="shared" si="31"/>
        <v>1.7149999999999999</v>
      </c>
      <c r="AP23" s="523" t="e">
        <f t="shared" si="31"/>
        <v>#DIV/0!</v>
      </c>
      <c r="AQ23" s="523" t="e">
        <f t="shared" si="31"/>
        <v>#DIV/0!</v>
      </c>
      <c r="AR23" s="523">
        <f t="shared" si="31"/>
        <v>1.69</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2.7899999999999996</v>
      </c>
      <c r="AJ24" s="524" t="e">
        <f>ROUNDUP(SUM(I23:I29)/SUM(Boilers_DR!AC26:AC35),2)</f>
        <v>#DIV/0!</v>
      </c>
      <c r="AK24" s="524" t="e">
        <f>ROUNDUP(SUM(J23:J29)/SUM(Boilers_DR!AD26:AD35),2)</f>
        <v>#DIV/0!</v>
      </c>
      <c r="AL24" s="524">
        <f>ROUNDUP(SUM(K23:K29)/SUM(Boilers_DR!AB66:AB75),2)*AL3</f>
        <v>3.4491799999999997</v>
      </c>
      <c r="AM24" s="524" t="e">
        <f>ROUNDUP(SUM(L23:L29)/SUM(Boilers_DR!AC66:AC75),2)*AM3</f>
        <v>#DIV/0!</v>
      </c>
      <c r="AN24" s="524" t="e">
        <f>ROUNDUP(SUM(M23:M29)/SUM(Boilers_DR!AD66:AD75),2)*AN3</f>
        <v>#DIV/0!</v>
      </c>
      <c r="AO24" s="524">
        <f>ROUNDUP(SUM(N23:N29)/SUM(Boilers_DR!AB106:AB115),2)</f>
        <v>3.4299999999999997</v>
      </c>
      <c r="AP24" s="524" t="e">
        <f>ROUNDUP(SUM(O23:O29)/SUM(Boilers_DR!AC106:AC115),2)</f>
        <v>#DIV/0!</v>
      </c>
      <c r="AQ24" s="524" t="e">
        <f>ROUNDUP(SUM(P23:P29)/SUM(Boilers_DR!AD106:AD115),2)</f>
        <v>#DIV/0!</v>
      </c>
      <c r="AR24" s="524">
        <f>ROUNDUP(SUM(N23:N29)/SUM(Boilers_DR!AB146:AB155),2)</f>
        <v>3.38</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357.44802867383515</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2.9649999999999999</v>
      </c>
      <c r="AJ25" s="524" t="e">
        <f t="shared" si="34"/>
        <v>#DIV/0!</v>
      </c>
      <c r="AK25" s="524" t="e">
        <f t="shared" si="34"/>
        <v>#DIV/0!</v>
      </c>
      <c r="AL25" s="524">
        <f t="shared" si="34"/>
        <v>3.2945899999999999</v>
      </c>
      <c r="AM25" s="524" t="e">
        <f t="shared" si="34"/>
        <v>#DIV/0!</v>
      </c>
      <c r="AN25" s="524" t="e">
        <f t="shared" si="34"/>
        <v>#DIV/0!</v>
      </c>
      <c r="AO25" s="524">
        <f t="shared" si="34"/>
        <v>3.2850000000000001</v>
      </c>
      <c r="AP25" s="524" t="e">
        <f t="shared" si="34"/>
        <v>#DIV/0!</v>
      </c>
      <c r="AQ25" s="524" t="e">
        <f t="shared" si="34"/>
        <v>#DIV/0!</v>
      </c>
      <c r="AR25" s="524">
        <f t="shared" ref="AR25:AT25" si="35">AR24/2+AR26/2</f>
        <v>3.26</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1.2799999999999998</v>
      </c>
      <c r="AJ30" s="523" t="e">
        <f t="shared" si="39"/>
        <v>#DIV/0!</v>
      </c>
      <c r="AK30" s="523" t="e">
        <f t="shared" si="39"/>
        <v>#DIV/0!</v>
      </c>
      <c r="AL30" s="524">
        <f t="shared" si="39"/>
        <v>1.5804599999999998</v>
      </c>
      <c r="AM30" s="523" t="e">
        <f t="shared" si="39"/>
        <v>#DIV/0!</v>
      </c>
      <c r="AN30" s="523" t="e">
        <f t="shared" si="39"/>
        <v>#DIV/0!</v>
      </c>
      <c r="AO30" s="524">
        <f t="shared" si="39"/>
        <v>1.615</v>
      </c>
      <c r="AP30" s="523" t="e">
        <f t="shared" si="39"/>
        <v>#DIV/0!</v>
      </c>
      <c r="AQ30" s="523" t="e">
        <f t="shared" si="39"/>
        <v>#DIV/0!</v>
      </c>
      <c r="AR30" s="524">
        <f t="shared" si="39"/>
        <v>1.5499999999999998</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2.5599999999999996</v>
      </c>
      <c r="AJ31" s="524" t="e">
        <f>ROUNDUP(SUM(I30:I36)/SUM(Boilers_DR!AC36:AC45),2)</f>
        <v>#DIV/0!</v>
      </c>
      <c r="AK31" s="524" t="e">
        <f>ROUNDUP(SUM(J30:J36)/SUM(Boilers_DR!AD36:AD45),2)</f>
        <v>#DIV/0!</v>
      </c>
      <c r="AL31" s="524">
        <f>ROUNDUP(SUM(K30:K36)/SUM(Boilers_DR!AB76:AB85),2)*AL3</f>
        <v>3.1609199999999995</v>
      </c>
      <c r="AM31" s="524" t="e">
        <f>ROUNDUP(SUM(L30:L36)/SUM(Boilers_DR!AC76:AC85),2)*AM3</f>
        <v>#DIV/0!</v>
      </c>
      <c r="AN31" s="524" t="e">
        <f>ROUNDUP(SUM(M30:M36)/SUM(Boilers_DR!AD76:AD85),2)*AN3</f>
        <v>#DIV/0!</v>
      </c>
      <c r="AO31" s="524">
        <f>ROUNDUP(SUM(N30:N36)/SUM(Boilers_DR!AB116:AB125),2)</f>
        <v>3.23</v>
      </c>
      <c r="AP31" s="524" t="e">
        <f>ROUNDUP(SUM(O30:O36)/SUM(Boilers_DR!AC116:AC125),2)</f>
        <v>#DIV/0!</v>
      </c>
      <c r="AQ31" s="524" t="e">
        <f>ROUNDUP(SUM(P30:P36)/SUM(Boilers_DR!AD116:AD125),2)</f>
        <v>#DIV/0!</v>
      </c>
      <c r="AR31" s="524">
        <f>ROUNDUP(SUM(N30:N36)/SUM(Boilers_DR!AB156:AB165),2)</f>
        <v>3.0999999999999996</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21.792968750000004</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2.8499999999999996</v>
      </c>
      <c r="AJ32" s="524" t="e">
        <f t="shared" si="43"/>
        <v>#DIV/0!</v>
      </c>
      <c r="AK32" s="524" t="e">
        <f t="shared" si="43"/>
        <v>#DIV/0!</v>
      </c>
      <c r="AL32" s="524">
        <f t="shared" si="43"/>
        <v>3.1504599999999998</v>
      </c>
      <c r="AM32" s="524" t="e">
        <f t="shared" si="43"/>
        <v>#DIV/0!</v>
      </c>
      <c r="AN32" s="524" t="e">
        <f t="shared" si="43"/>
        <v>#DIV/0!</v>
      </c>
      <c r="AO32" s="524">
        <f t="shared" si="43"/>
        <v>3.1850000000000001</v>
      </c>
      <c r="AP32" s="524" t="e">
        <f t="shared" si="43"/>
        <v>#DIV/0!</v>
      </c>
      <c r="AQ32" s="524" t="e">
        <f t="shared" si="43"/>
        <v>#DIV/0!</v>
      </c>
      <c r="AR32" s="524">
        <f t="shared" ref="AR32:AT32" si="44">AR31/2+AR33/2</f>
        <v>3.12</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1105.8751406937565</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379.44105603177906</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1104.4530306594529</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379.24099742383515</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1.4221100343036142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0.20005860794390173</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1027.6972970085469</v>
      </c>
      <c r="AJ55" s="527">
        <f t="shared" si="75"/>
        <v>648.98679700854689</v>
      </c>
      <c r="AK55" s="527">
        <f t="shared" si="75"/>
        <v>648.98679700854689</v>
      </c>
      <c r="AL55" s="527">
        <f t="shared" si="75"/>
        <v>1069.8847970085469</v>
      </c>
      <c r="AM55" s="527">
        <f t="shared" si="75"/>
        <v>648.98679700854689</v>
      </c>
      <c r="AN55" s="527">
        <f t="shared" si="75"/>
        <v>648.98679700854689</v>
      </c>
      <c r="AO55" s="527">
        <f t="shared" si="75"/>
        <v>1046.8752970085468</v>
      </c>
      <c r="AP55" s="527">
        <f t="shared" si="75"/>
        <v>648.98679700854689</v>
      </c>
      <c r="AQ55" s="527">
        <f t="shared" si="75"/>
        <v>648.98679700854689</v>
      </c>
      <c r="AR55" s="527">
        <f t="shared" ref="AR55:AT55" si="76">AR54/2+AR56/2</f>
        <v>1046.8752970085468</v>
      </c>
      <c r="AS55" s="527">
        <f>AS54/2+AS56/2</f>
        <v>648.98679700854689</v>
      </c>
      <c r="AT55" s="527">
        <f t="shared" si="76"/>
        <v>648.98679700854689</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1297.9735940170938</v>
      </c>
      <c r="AJ56" s="528">
        <f t="shared" si="77"/>
        <v>1297.9735940170938</v>
      </c>
      <c r="AK56" s="528">
        <f t="shared" si="77"/>
        <v>1297.9735940170938</v>
      </c>
      <c r="AL56" s="528">
        <f t="shared" si="77"/>
        <v>1297.9735940170938</v>
      </c>
      <c r="AM56" s="528">
        <f t="shared" si="77"/>
        <v>1297.9735940170938</v>
      </c>
      <c r="AN56" s="528">
        <f t="shared" si="77"/>
        <v>1297.9735940170938</v>
      </c>
      <c r="AO56" s="528">
        <f t="shared" si="77"/>
        <v>1297.9735940170938</v>
      </c>
      <c r="AP56" s="528">
        <f t="shared" si="77"/>
        <v>1297.9735940170938</v>
      </c>
      <c r="AQ56" s="528">
        <f t="shared" si="77"/>
        <v>1297.9735940170938</v>
      </c>
      <c r="AR56" s="528">
        <f t="shared" ref="AR56:AT56" si="78">$AI$54*AR12/$AI$10</f>
        <v>1297.9735940170938</v>
      </c>
      <c r="AS56" s="528">
        <f t="shared" si="78"/>
        <v>1297.9735940170938</v>
      </c>
      <c r="AT56" s="528">
        <f t="shared" si="78"/>
        <v>1297.9735940170938</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1537.4998931623929</v>
      </c>
      <c r="AJ57" s="528">
        <f t="shared" si="80"/>
        <v>1537.4998931623929</v>
      </c>
      <c r="AK57" s="528">
        <f t="shared" si="80"/>
        <v>1537.4998931623929</v>
      </c>
      <c r="AL57" s="528">
        <f t="shared" si="80"/>
        <v>1537.4998931623929</v>
      </c>
      <c r="AM57" s="528">
        <f t="shared" si="80"/>
        <v>1537.4998931623929</v>
      </c>
      <c r="AN57" s="528">
        <f t="shared" si="80"/>
        <v>1537.4998931623929</v>
      </c>
      <c r="AO57" s="528">
        <f t="shared" si="80"/>
        <v>1537.4998931623929</v>
      </c>
      <c r="AP57" s="528">
        <f t="shared" si="80"/>
        <v>1537.4998931623929</v>
      </c>
      <c r="AQ57" s="528">
        <f t="shared" si="80"/>
        <v>1537.4998931623929</v>
      </c>
      <c r="AR57" s="528">
        <f t="shared" ref="AR57:AT57" si="81">$AI$54*AR13/$AI$10</f>
        <v>1537.4998931623929</v>
      </c>
      <c r="AS57" s="528">
        <f t="shared" si="81"/>
        <v>1537.4998931623929</v>
      </c>
      <c r="AT57" s="528">
        <f t="shared" si="81"/>
        <v>1537.4998931623929</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1967.9998632478632</v>
      </c>
      <c r="AJ58" s="528">
        <f t="shared" si="82"/>
        <v>1967.9998632478632</v>
      </c>
      <c r="AK58" s="528">
        <f t="shared" si="82"/>
        <v>1967.9998632478632</v>
      </c>
      <c r="AL58" s="528">
        <f t="shared" si="82"/>
        <v>1967.9998632478632</v>
      </c>
      <c r="AM58" s="528">
        <f t="shared" si="82"/>
        <v>1967.9998632478632</v>
      </c>
      <c r="AN58" s="528">
        <f t="shared" si="82"/>
        <v>1967.9998632478632</v>
      </c>
      <c r="AO58" s="528">
        <f t="shared" si="82"/>
        <v>1967.9998632478632</v>
      </c>
      <c r="AP58" s="528">
        <f t="shared" si="82"/>
        <v>1967.9998632478632</v>
      </c>
      <c r="AQ58" s="528">
        <f t="shared" si="82"/>
        <v>1967.9998632478632</v>
      </c>
      <c r="AR58" s="528">
        <f t="shared" ref="AR58:AT58" si="83">$AI$54*AR14/$AI$10</f>
        <v>1967.9998632478632</v>
      </c>
      <c r="AS58" s="528">
        <f t="shared" si="83"/>
        <v>1967.9998632478632</v>
      </c>
      <c r="AT58" s="528">
        <f t="shared" si="83"/>
        <v>1967.9998632478632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2246.3682649572652</v>
      </c>
      <c r="AJ59" s="528">
        <f t="shared" si="84"/>
        <v>2246.3682649572652</v>
      </c>
      <c r="AK59" s="528">
        <f t="shared" si="84"/>
        <v>2246.3682649572652</v>
      </c>
      <c r="AL59" s="528">
        <f t="shared" si="84"/>
        <v>2246.3682649572652</v>
      </c>
      <c r="AM59" s="528">
        <f t="shared" si="84"/>
        <v>2246.3682649572652</v>
      </c>
      <c r="AN59" s="528">
        <f t="shared" si="84"/>
        <v>2246.3682649572652</v>
      </c>
      <c r="AO59" s="528">
        <f t="shared" si="84"/>
        <v>2246.3682649572652</v>
      </c>
      <c r="AP59" s="528">
        <f t="shared" si="84"/>
        <v>2246.3682649572652</v>
      </c>
      <c r="AQ59" s="528">
        <f t="shared" si="84"/>
        <v>2246.3682649572652</v>
      </c>
      <c r="AR59" s="528">
        <f t="shared" ref="AR59:AT59" si="85">$AI$54*AR15/$AI$10</f>
        <v>2246.3682649572652</v>
      </c>
      <c r="AS59" s="528">
        <f t="shared" si="85"/>
        <v>2246.3682649572652</v>
      </c>
      <c r="AT59" s="528">
        <f t="shared" si="85"/>
        <v>2246.3682649572652</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1077.9260321100919</v>
      </c>
      <c r="AJ62" s="527">
        <f t="shared" si="97"/>
        <v>698.3010321100918</v>
      </c>
      <c r="AK62" s="527">
        <f t="shared" si="97"/>
        <v>698.3010321100918</v>
      </c>
      <c r="AL62" s="527">
        <f t="shared" si="97"/>
        <v>1120.2130321100917</v>
      </c>
      <c r="AM62" s="527">
        <f t="shared" si="97"/>
        <v>698.3010321100918</v>
      </c>
      <c r="AN62" s="527">
        <f t="shared" si="97"/>
        <v>698.3010321100918</v>
      </c>
      <c r="AO62" s="527">
        <f t="shared" si="97"/>
        <v>1097.1500321100918</v>
      </c>
      <c r="AP62" s="527">
        <f t="shared" si="97"/>
        <v>698.3010321100918</v>
      </c>
      <c r="AQ62" s="527">
        <f t="shared" si="97"/>
        <v>698.3010321100918</v>
      </c>
      <c r="AR62" s="527">
        <f t="shared" ref="AR62:AT62" si="98">AR61/2+AR63/2</f>
        <v>1097.1500321100918</v>
      </c>
      <c r="AS62" s="527">
        <f t="shared" si="98"/>
        <v>698.3010321100918</v>
      </c>
      <c r="AT62" s="527">
        <f t="shared" si="98"/>
        <v>698.3010321100918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1396.6020642201836</v>
      </c>
      <c r="AJ63" s="528">
        <f t="shared" si="101"/>
        <v>1396.6020642201836</v>
      </c>
      <c r="AK63" s="528">
        <f t="shared" si="101"/>
        <v>1396.6020642201836</v>
      </c>
      <c r="AL63" s="528">
        <f t="shared" si="101"/>
        <v>1396.6020642201836</v>
      </c>
      <c r="AM63" s="528">
        <f t="shared" si="101"/>
        <v>1396.6020642201836</v>
      </c>
      <c r="AN63" s="528">
        <f t="shared" si="101"/>
        <v>1396.6020642201836</v>
      </c>
      <c r="AO63" s="528">
        <f t="shared" si="101"/>
        <v>1396.6020642201836</v>
      </c>
      <c r="AP63" s="528">
        <f t="shared" si="101"/>
        <v>1396.6020642201836</v>
      </c>
      <c r="AQ63" s="528">
        <f t="shared" si="101"/>
        <v>1396.6020642201836</v>
      </c>
      <c r="AR63" s="528">
        <f t="shared" ref="AR63:AT63" si="102">$AI$61*AR19/$AI$17</f>
        <v>1396.6020642201836</v>
      </c>
      <c r="AS63" s="528">
        <f t="shared" si="102"/>
        <v>1396.6020642201836</v>
      </c>
      <c r="AT63" s="528">
        <f t="shared" si="102"/>
        <v>1396.6020642201836</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8"/>
      <c r="BM63" s="658"/>
      <c r="BN63" s="658"/>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1654.3291284403672</v>
      </c>
      <c r="AJ64" s="528">
        <f t="shared" si="103"/>
        <v>1654.3291284403672</v>
      </c>
      <c r="AK64" s="528">
        <f t="shared" si="103"/>
        <v>1654.3291284403672</v>
      </c>
      <c r="AL64" s="528">
        <f t="shared" si="103"/>
        <v>1654.3291284403672</v>
      </c>
      <c r="AM64" s="528">
        <f t="shared" si="103"/>
        <v>1654.3291284403672</v>
      </c>
      <c r="AN64" s="528">
        <f t="shared" si="103"/>
        <v>1654.3291284403672</v>
      </c>
      <c r="AO64" s="528">
        <f t="shared" si="103"/>
        <v>1654.3291284403672</v>
      </c>
      <c r="AP64" s="528">
        <f t="shared" si="103"/>
        <v>1654.3291284403672</v>
      </c>
      <c r="AQ64" s="528">
        <f t="shared" si="103"/>
        <v>1654.3291284403672</v>
      </c>
      <c r="AR64" s="528">
        <f t="shared" ref="AR64:AT64" si="104">$AI$61*AR20/$AI$17</f>
        <v>1654.3291284403672</v>
      </c>
      <c r="AS64" s="528">
        <f t="shared" si="104"/>
        <v>1654.3291284403672</v>
      </c>
      <c r="AT64" s="528">
        <f t="shared" si="104"/>
        <v>1654.3291284403672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2117.54128440367</v>
      </c>
      <c r="AJ65" s="528">
        <f t="shared" si="105"/>
        <v>2117.54128440367</v>
      </c>
      <c r="AK65" s="528">
        <f t="shared" si="105"/>
        <v>2117.54128440367</v>
      </c>
      <c r="AL65" s="528">
        <f t="shared" si="105"/>
        <v>2117.54128440367</v>
      </c>
      <c r="AM65" s="528">
        <f t="shared" si="105"/>
        <v>2117.54128440367</v>
      </c>
      <c r="AN65" s="528">
        <f t="shared" si="105"/>
        <v>2117.54128440367</v>
      </c>
      <c r="AO65" s="528">
        <f t="shared" si="105"/>
        <v>2117.54128440367</v>
      </c>
      <c r="AP65" s="528">
        <f t="shared" si="105"/>
        <v>2117.54128440367</v>
      </c>
      <c r="AQ65" s="528">
        <f t="shared" si="105"/>
        <v>2117.54128440367</v>
      </c>
      <c r="AR65" s="528">
        <f t="shared" ref="AR65:AT65" si="106">$AI$61*AR21/$AI$17</f>
        <v>2117.54128440367</v>
      </c>
      <c r="AS65" s="528">
        <f t="shared" si="106"/>
        <v>2117.54128440367</v>
      </c>
      <c r="AT65" s="528">
        <f t="shared" si="106"/>
        <v>2117.54128440367</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2417.0619266055051</v>
      </c>
      <c r="AJ66" s="528">
        <f t="shared" si="107"/>
        <v>2417.0619266055051</v>
      </c>
      <c r="AK66" s="528">
        <f t="shared" si="107"/>
        <v>2417.0619266055051</v>
      </c>
      <c r="AL66" s="528">
        <f t="shared" si="107"/>
        <v>2417.0619266055051</v>
      </c>
      <c r="AM66" s="528">
        <f t="shared" si="107"/>
        <v>2417.0619266055051</v>
      </c>
      <c r="AN66" s="528">
        <f t="shared" si="107"/>
        <v>2417.0619266055051</v>
      </c>
      <c r="AO66" s="528">
        <f t="shared" si="107"/>
        <v>2417.0619266055051</v>
      </c>
      <c r="AP66" s="528">
        <f t="shared" si="107"/>
        <v>2417.0619266055051</v>
      </c>
      <c r="AQ66" s="528">
        <f t="shared" si="107"/>
        <v>2417.0619266055051</v>
      </c>
      <c r="AR66" s="528">
        <f t="shared" ref="AR66:AT66" si="108">$AI$61*AR22/$AI$17</f>
        <v>2417.0619266055051</v>
      </c>
      <c r="AS66" s="528">
        <f t="shared" si="108"/>
        <v>2417.0619266055051</v>
      </c>
      <c r="AT66" s="528">
        <f t="shared" si="108"/>
        <v>2417.0619266055051</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959.78962903225806</v>
      </c>
      <c r="AJ69" s="527">
        <f t="shared" si="119"/>
        <v>508.21912903225814</v>
      </c>
      <c r="AK69" s="527">
        <f t="shared" si="119"/>
        <v>508.21912903225814</v>
      </c>
      <c r="AL69" s="527">
        <f t="shared" si="119"/>
        <v>1010.0911290322581</v>
      </c>
      <c r="AM69" s="527">
        <f t="shared" si="119"/>
        <v>508.21912903225814</v>
      </c>
      <c r="AN69" s="527">
        <f t="shared" si="119"/>
        <v>508.21912903225814</v>
      </c>
      <c r="AO69" s="527">
        <f t="shared" si="119"/>
        <v>982.6581290322581</v>
      </c>
      <c r="AP69" s="527">
        <f t="shared" si="119"/>
        <v>508.21912903225814</v>
      </c>
      <c r="AQ69" s="527">
        <f t="shared" si="119"/>
        <v>508.21912903225814</v>
      </c>
      <c r="AR69" s="527">
        <f t="shared" ref="AR69:AT69" si="120">AR68/2+AR70/2</f>
        <v>982.6581290322581</v>
      </c>
      <c r="AS69" s="527">
        <f t="shared" si="120"/>
        <v>508.21912903225814</v>
      </c>
      <c r="AT69" s="527">
        <f t="shared" si="120"/>
        <v>508.21912903225814</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1016.4382580645163</v>
      </c>
      <c r="AJ70" s="528">
        <f t="shared" si="121"/>
        <v>1016.4382580645163</v>
      </c>
      <c r="AK70" s="528">
        <f t="shared" si="121"/>
        <v>1016.4382580645163</v>
      </c>
      <c r="AL70" s="528">
        <f t="shared" si="121"/>
        <v>1016.4382580645163</v>
      </c>
      <c r="AM70" s="528">
        <f t="shared" si="121"/>
        <v>1016.4382580645163</v>
      </c>
      <c r="AN70" s="528">
        <f t="shared" si="121"/>
        <v>1016.4382580645163</v>
      </c>
      <c r="AO70" s="528">
        <f t="shared" si="121"/>
        <v>1016.4382580645163</v>
      </c>
      <c r="AP70" s="528">
        <f t="shared" si="121"/>
        <v>1016.4382580645163</v>
      </c>
      <c r="AQ70" s="528">
        <f t="shared" si="121"/>
        <v>1016.4382580645163</v>
      </c>
      <c r="AR70" s="528">
        <f t="shared" ref="AR70:AT70" si="122">$AI$68*AR26/$AI$24</f>
        <v>1016.4382580645163</v>
      </c>
      <c r="AS70" s="528">
        <f t="shared" si="122"/>
        <v>1016.4382580645163</v>
      </c>
      <c r="AT70" s="528">
        <f t="shared" si="122"/>
        <v>1016.4382580645163</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1194.4768064516129</v>
      </c>
      <c r="AJ71" s="528">
        <f t="shared" si="124"/>
        <v>1194.4768064516129</v>
      </c>
      <c r="AK71" s="528">
        <f t="shared" si="124"/>
        <v>1194.4768064516129</v>
      </c>
      <c r="AL71" s="528">
        <f t="shared" si="124"/>
        <v>1194.4768064516129</v>
      </c>
      <c r="AM71" s="528">
        <f t="shared" si="124"/>
        <v>1194.4768064516129</v>
      </c>
      <c r="AN71" s="528">
        <f t="shared" si="124"/>
        <v>1194.4768064516129</v>
      </c>
      <c r="AO71" s="528">
        <f t="shared" si="124"/>
        <v>1194.4768064516129</v>
      </c>
      <c r="AP71" s="528">
        <f t="shared" si="124"/>
        <v>1194.4768064516129</v>
      </c>
      <c r="AQ71" s="528">
        <f t="shared" si="124"/>
        <v>1194.4768064516129</v>
      </c>
      <c r="AR71" s="528">
        <f t="shared" ref="AR71:AT71" si="125">$AI$68*AR27/$AI$24</f>
        <v>1194.4768064516129</v>
      </c>
      <c r="AS71" s="528">
        <f t="shared" si="125"/>
        <v>1194.4768064516129</v>
      </c>
      <c r="AT71" s="528">
        <f t="shared" si="125"/>
        <v>1194.4768064516129</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1968.1352258064519</v>
      </c>
      <c r="AJ72" s="528">
        <f t="shared" si="126"/>
        <v>1968.1352258064519</v>
      </c>
      <c r="AK72" s="528">
        <f t="shared" si="126"/>
        <v>1968.1352258064519</v>
      </c>
      <c r="AL72" s="528">
        <f t="shared" si="126"/>
        <v>1968.1352258064519</v>
      </c>
      <c r="AM72" s="528">
        <f t="shared" si="126"/>
        <v>1968.1352258064519</v>
      </c>
      <c r="AN72" s="528">
        <f t="shared" si="126"/>
        <v>1968.1352258064519</v>
      </c>
      <c r="AO72" s="528">
        <f t="shared" si="126"/>
        <v>1968.1352258064519</v>
      </c>
      <c r="AP72" s="528">
        <f t="shared" si="126"/>
        <v>1968.1352258064519</v>
      </c>
      <c r="AQ72" s="528">
        <f t="shared" si="126"/>
        <v>1968.1352258064519</v>
      </c>
      <c r="AR72" s="528">
        <f t="shared" ref="AR72:AT72" si="127">$AI$68*AR28/$AI$24</f>
        <v>1968.1352258064519</v>
      </c>
      <c r="AS72" s="528">
        <f t="shared" si="127"/>
        <v>1968.1352258064519</v>
      </c>
      <c r="AT72" s="528">
        <f t="shared" si="127"/>
        <v>1968.1352258064519</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2246.5227741935487</v>
      </c>
      <c r="AJ73" s="528">
        <f t="shared" si="128"/>
        <v>2246.5227741935487</v>
      </c>
      <c r="AK73" s="528">
        <f t="shared" si="128"/>
        <v>2246.5227741935487</v>
      </c>
      <c r="AL73" s="528">
        <f t="shared" si="128"/>
        <v>2246.5227741935487</v>
      </c>
      <c r="AM73" s="528">
        <f t="shared" si="128"/>
        <v>2246.5227741935487</v>
      </c>
      <c r="AN73" s="528">
        <f t="shared" si="128"/>
        <v>2246.5227741935487</v>
      </c>
      <c r="AO73" s="528">
        <f t="shared" si="128"/>
        <v>2246.5227741935487</v>
      </c>
      <c r="AP73" s="528">
        <f t="shared" si="128"/>
        <v>2246.5227741935487</v>
      </c>
      <c r="AQ73" s="528">
        <f t="shared" si="128"/>
        <v>2246.5227741935487</v>
      </c>
      <c r="AR73" s="528">
        <f t="shared" ref="AR73:AT73" si="129">$AI$68*AR29/$AI$24</f>
        <v>2246.5227741935487</v>
      </c>
      <c r="AS73" s="528">
        <f t="shared" si="129"/>
        <v>2246.5227741935487</v>
      </c>
      <c r="AT73" s="528">
        <f t="shared" si="129"/>
        <v>2246.5227741935487</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992.35775390625008</v>
      </c>
      <c r="AJ76" s="527">
        <f t="shared" si="141"/>
        <v>546.66725390625015</v>
      </c>
      <c r="AK76" s="527">
        <f t="shared" si="141"/>
        <v>546.66725390625015</v>
      </c>
      <c r="AL76" s="527">
        <f t="shared" si="141"/>
        <v>1042.0392539062502</v>
      </c>
      <c r="AM76" s="527">
        <f t="shared" si="141"/>
        <v>546.66725390625015</v>
      </c>
      <c r="AN76" s="527">
        <f t="shared" si="141"/>
        <v>546.66725390625015</v>
      </c>
      <c r="AO76" s="527">
        <f t="shared" si="141"/>
        <v>1014.9397539062502</v>
      </c>
      <c r="AP76" s="527">
        <f t="shared" si="141"/>
        <v>546.66725390625015</v>
      </c>
      <c r="AQ76" s="527">
        <f t="shared" si="141"/>
        <v>546.66725390625015</v>
      </c>
      <c r="AR76" s="527">
        <f t="shared" ref="AR76:AT76" si="142">AR75/2+AR77/2</f>
        <v>1014.9397539062502</v>
      </c>
      <c r="AS76" s="527">
        <f t="shared" si="142"/>
        <v>546.66725390625015</v>
      </c>
      <c r="AT76" s="527">
        <f t="shared" si="142"/>
        <v>546.66725390625015</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1093.3345078125003</v>
      </c>
      <c r="AJ77" s="528">
        <f t="shared" si="143"/>
        <v>1093.3345078125003</v>
      </c>
      <c r="AK77" s="528">
        <f t="shared" si="143"/>
        <v>1093.3345078125003</v>
      </c>
      <c r="AL77" s="528">
        <f t="shared" si="143"/>
        <v>1093.3345078125003</v>
      </c>
      <c r="AM77" s="528">
        <f t="shared" si="143"/>
        <v>1093.3345078125003</v>
      </c>
      <c r="AN77" s="528">
        <f t="shared" si="143"/>
        <v>1093.3345078125003</v>
      </c>
      <c r="AO77" s="528">
        <f t="shared" si="143"/>
        <v>1093.3345078125003</v>
      </c>
      <c r="AP77" s="528">
        <f t="shared" si="143"/>
        <v>1093.3345078125003</v>
      </c>
      <c r="AQ77" s="528">
        <f t="shared" si="143"/>
        <v>1093.3345078125003</v>
      </c>
      <c r="AR77" s="528">
        <f t="shared" ref="AR77:AT77" si="144">$AI$75*AR33/$AI$31</f>
        <v>1093.3345078125003</v>
      </c>
      <c r="AS77" s="528">
        <f t="shared" si="144"/>
        <v>1093.3345078125003</v>
      </c>
      <c r="AT77" s="528">
        <f t="shared" si="144"/>
        <v>1093.3345078125003</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1284.8421445312501</v>
      </c>
      <c r="AJ78" s="528">
        <f t="shared" si="145"/>
        <v>1284.8421445312501</v>
      </c>
      <c r="AK78" s="528">
        <f t="shared" si="145"/>
        <v>1284.8421445312501</v>
      </c>
      <c r="AL78" s="528">
        <f t="shared" si="145"/>
        <v>1284.8421445312501</v>
      </c>
      <c r="AM78" s="528">
        <f t="shared" si="145"/>
        <v>1284.8421445312501</v>
      </c>
      <c r="AN78" s="528">
        <f t="shared" si="145"/>
        <v>1284.8421445312501</v>
      </c>
      <c r="AO78" s="528">
        <f t="shared" si="145"/>
        <v>1284.8421445312501</v>
      </c>
      <c r="AP78" s="528">
        <f t="shared" si="145"/>
        <v>1284.8421445312501</v>
      </c>
      <c r="AQ78" s="528">
        <f t="shared" si="145"/>
        <v>1284.8421445312501</v>
      </c>
      <c r="AR78" s="528">
        <f t="shared" ref="AR78:AT78" si="146">$AI$75*AR34/$AI$31</f>
        <v>1284.8421445312501</v>
      </c>
      <c r="AS78" s="528">
        <f t="shared" si="146"/>
        <v>1284.8421445312501</v>
      </c>
      <c r="AT78" s="528">
        <f t="shared" si="146"/>
        <v>1284.8421445312501</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2117.0298750000002</v>
      </c>
      <c r="AJ79" s="528">
        <f t="shared" si="147"/>
        <v>2117.0298750000002</v>
      </c>
      <c r="AK79" s="528">
        <f t="shared" si="147"/>
        <v>2117.0298750000002</v>
      </c>
      <c r="AL79" s="528">
        <f t="shared" si="147"/>
        <v>2117.0298750000002</v>
      </c>
      <c r="AM79" s="528">
        <f t="shared" si="147"/>
        <v>2117.0298750000002</v>
      </c>
      <c r="AN79" s="528">
        <f t="shared" si="147"/>
        <v>2117.0298750000002</v>
      </c>
      <c r="AO79" s="528">
        <f t="shared" si="147"/>
        <v>2117.0298750000002</v>
      </c>
      <c r="AP79" s="528">
        <f t="shared" si="147"/>
        <v>2117.0298750000002</v>
      </c>
      <c r="AQ79" s="528">
        <f t="shared" si="147"/>
        <v>2117.0298750000002</v>
      </c>
      <c r="AR79" s="528">
        <f t="shared" ref="AR79:AT79" si="148">$AI$75*AR35/$AI$31</f>
        <v>2117.0298750000002</v>
      </c>
      <c r="AS79" s="528">
        <f t="shared" si="148"/>
        <v>2117.0298750000002</v>
      </c>
      <c r="AT79" s="528">
        <f t="shared" si="148"/>
        <v>2117.0298750000002</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2416.4781796875004</v>
      </c>
      <c r="AJ80" s="528">
        <f t="shared" si="149"/>
        <v>2416.4781796875004</v>
      </c>
      <c r="AK80" s="528">
        <f t="shared" si="149"/>
        <v>2416.4781796875004</v>
      </c>
      <c r="AL80" s="528">
        <f t="shared" si="149"/>
        <v>2416.4781796875004</v>
      </c>
      <c r="AM80" s="528">
        <f t="shared" si="149"/>
        <v>2416.4781796875004</v>
      </c>
      <c r="AN80" s="528">
        <f t="shared" si="149"/>
        <v>2416.4781796875004</v>
      </c>
      <c r="AO80" s="528">
        <f t="shared" si="149"/>
        <v>2416.4781796875004</v>
      </c>
      <c r="AP80" s="528">
        <f t="shared" si="149"/>
        <v>2416.4781796875004</v>
      </c>
      <c r="AQ80" s="528">
        <f t="shared" si="149"/>
        <v>2416.4781796875004</v>
      </c>
      <c r="AR80" s="528">
        <f t="shared" ref="AR80:AT80" si="150">$AI$75*AR36/$AI$31</f>
        <v>2416.4781796875004</v>
      </c>
      <c r="AS80" s="528">
        <f t="shared" si="150"/>
        <v>2416.4781796875004</v>
      </c>
      <c r="AT80" s="528">
        <f t="shared" si="150"/>
        <v>2416.4781796875004</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ht="13">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ht="13">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AE76"/>
  <sheetViews>
    <sheetView topLeftCell="C44" zoomScale="60" zoomScaleNormal="60" workbookViewId="0">
      <selection activeCell="R24" sqref="R24"/>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manipulation'!$C$23:$N$128,MATCH($S31&amp;$R31,'Data manipulation'!$B$23:$B$128&amp;'Data manipulation'!$A$23:$A$128,0),MATCH($U31,'Data manipulation'!$C$22:$N$22,0))/1000,0)*SUMIFS('Regional split'!$F$4:$F$6,'Regional split'!$B$4:$B$6,V$4)</f>
        <v>4.556489</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0.68347334999999998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manipulation'!$C$23:$N$128,MATCH($S33&amp;$R33,'Data manipulation'!$B$23:$B$128&amp;'Data manipulation'!$A$23:$A$128,0),MATCH($U33,'Data manipulation'!$C$22:$N$22,0))/1000,0)*SUMIFS('Regional split'!$F$4:$F$6,'Regional split'!$B$4:$B$6,V$4)</f>
        <v>4.3830020000000003</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0.65745030000000004</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manipulation'!$C$23:$N$128,MATCH($S35&amp;$R35,'Data manipulation'!$B$23:$B$128&amp;'Data manipulation'!$A$23:$A$128,0),MATCH($U35,'Data manipulation'!$C$22:$N$22,0))/1000,0)*SUMIFS('Regional split'!$F$4:$F$6,'Regional split'!$B$4:$B$6,V$4)</f>
        <v>4.5830570000000002</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0.68745855</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manipulation'!$C$23:$N$128,MATCH($S37&amp;$R37,'Data manipulation'!$B$23:$B$128&amp;'Data manipulation'!$A$23:$A$128,0),MATCH($U37,'Data manipulation'!$C$22:$N$22,0))/1000,0)*SUMIFS('Regional split'!$F$4:$F$6,'Regional split'!$B$4:$B$6,V$4)</f>
        <v>4.5830570000000002</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0.68745855</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27" ht="2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manipulation'!$C$23:$N$128,MATCH($S45&amp;$R45,'Data manipulation'!$B$23:$B$128&amp;'Data manipulation'!$A$23:$A$128,0),MATCH($U45,'Data manipulation'!$C$22:$N$22,0))/1000,0)*SUMIFS('Regional split'!$F$4:$F$6,'Regional split'!$B$4:$B$6,V$4)</f>
        <v>0</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0</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manipulation'!$C$23:$N$128,MATCH($S46&amp;$R46,'Data manipulation'!$B$23:$B$128&amp;'Data manipulation'!$A$23:$A$128,0),MATCH($U46,'Data manipulation'!$C$22:$N$22,0))/1000,0)*SUMIFS('Regional split'!$F$4:$F$6,'Regional split'!$B$4:$B$6,V$4)</f>
        <v>162.06209600000003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116.68470912000001</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manipulation'!$C$23:$N$128,MATCH($S47&amp;$R47,'Data manipulation'!$B$23:$B$128&amp;'Data manipulation'!$A$23:$A$128,0),MATCH($U47,'Data manipulation'!$C$22:$N$22,0))/1000,0)*SUMIFS('Regional split'!$F$4:$F$6,'Regional split'!$B$4:$B$6,V$4)</f>
        <v>61.96310600000001</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43.993805260000002</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manipulation'!$C$23:$N$128,MATCH($S53&amp;$R53,'Data manipulation'!$B$23:$B$128&amp;'Data manipulation'!$A$23:$A$128,0),MATCH($U53,'Data manipulation'!$C$22:$N$22,0))/1000,0)*SUMIFS('Regional split'!$F$4:$F$6,'Regional split'!$B$4:$B$6,V$4)</f>
        <v>0</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0</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manipulation'!$C$23:$N$128,MATCH($S54&amp;$R54,'Data manipulation'!$B$23:$B$128&amp;'Data manipulation'!$A$23:$A$128,0),MATCH($U54,'Data manipulation'!$C$22:$N$22,0))/1000,0)*SUMIFS('Regional split'!$F$4:$F$6,'Regional split'!$B$4:$B$6,V$4)</f>
        <v>157.531972</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manipulation'!$C$23:$N$128,MATCH($S55&amp;$R55,'Data manipulation'!$B$23:$B$128&amp;'Data manipulation'!$A$23:$A$128,0),MATCH($U55,'Data manipulation'!$C$22:$N$22,0))/1000,0)*SUMIFS('Regional split'!$F$4:$F$6,'Regional split'!$B$4:$B$6,V$4)</f>
        <v>59.715341000000002</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manipulation'!$C$23:$N$128,MATCH($S61&amp;$R61,'Data manipulation'!$B$23:$B$128&amp;'Data manipulation'!$A$23:$A$128,0),MATCH($U61,'Data manipulation'!$C$22:$N$22,0))/1000,0)*SUMIFS('Regional split'!$F$4:$F$6,'Regional split'!$B$4:$B$6,V$4)</f>
        <v>0</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0</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manipulation'!$C$23:$N$128,MATCH($S62&amp;$R62,'Data manipulation'!$B$23:$B$128&amp;'Data manipulation'!$A$23:$A$128,0),MATCH($U62,'Data manipulation'!$C$22:$N$22,0))/1000,0)*SUMIFS('Regional split'!$F$4:$F$6,'Regional split'!$B$4:$B$6,V$4)</f>
        <v>200.13201900000001</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manipulation'!$C$23:$N$128,MATCH($S63&amp;$R63,'Data manipulation'!$B$23:$B$128&amp;'Data manipulation'!$A$23:$A$128,0),MATCH($U63,'Data manipulation'!$C$22:$N$22,0))/1000,0)*SUMIFS('Regional split'!$F$4:$F$6,'Regional split'!$B$4:$B$6,V$4)</f>
        <v>58.220644</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manipulation'!$C$23:$N$128,MATCH($S69&amp;$R69,'Data manipulation'!$B$23:$B$128&amp;'Data manipulation'!$A$23:$A$128,0),MATCH($U69,'Data manipulation'!$C$22:$N$22,0))/1000,0)*SUMIFS('Regional split'!$F$4:$F$6,'Regional split'!$B$4:$B$6,V$4)</f>
        <v>0</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0</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manipulation'!$C$23:$N$128,MATCH($S70&amp;$R70,'Data manipulation'!$B$23:$B$128&amp;'Data manipulation'!$A$23:$A$128,0),MATCH($U70,'Data manipulation'!$C$22:$N$22,0))/1000,0)*SUMIFS('Regional split'!$F$4:$F$6,'Regional split'!$B$4:$B$6,V$4)</f>
        <v>200.13201900000001</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manipulation'!$C$23:$N$128,MATCH($S71&amp;$R71,'Data manipulation'!$B$23:$B$128&amp;'Data manipulation'!$A$23:$A$128,0),MATCH($U71,'Data manipulation'!$C$22:$N$22,0))/1000,0)*SUMIFS('Regional split'!$F$4:$F$6,'Regional split'!$B$4:$B$6,V$4)</f>
        <v>58.220644</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12" zoomScaleNormal="100" workbookViewId="0">
      <selection activeCell="F56" sqref="F56"/>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39997558519241921"/>
  </sheetPr>
  <dimension ref="B2:G11"/>
  <sheetViews>
    <sheetView zoomScaleNormal="100" workbookViewId="0">
      <selection activeCell="G12" sqref="G12"/>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O134"/>
  <sheetViews>
    <sheetView tabSelected="1" topLeftCell="A52" zoomScale="60" zoomScaleNormal="60" workbookViewId="0">
      <selection activeCell="B79" sqref="B79"/>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8.81640625" bestFit="1" customWidth="1"/>
    <col min="15" max="15" width="13.453125" customWidth="1"/>
    <col min="16" max="16" width="9.179687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15" customWidth="1"/>
    <col min="30" max="30" width="20.81640625" bestFit="1" customWidth="1"/>
    <col min="31" max="32" width="7" bestFit="1" customWidth="1"/>
    <col min="33" max="33" width="5.45312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927</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906</v>
      </c>
      <c r="Y20" t="s">
        <v>933</v>
      </c>
      <c r="Z20" t="s">
        <v>934</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850</v>
      </c>
      <c r="C31" s="478">
        <f>IFERROR('Energy balance'!C14*'Data manipulation'!$Q31,0)</f>
        <v>0</v>
      </c>
      <c r="D31" s="478">
        <f>IFERROR('Energy balance'!D14*'Data manipulation'!$Q31,0)</f>
        <v>0</v>
      </c>
      <c r="E31" s="478">
        <f>IFERROR('Energy balance'!E14*'Data manipulation'!$Q31,0)</f>
        <v>0</v>
      </c>
      <c r="F31" s="597">
        <f>IFERROR(Raw_Data!D21,0)+7200</f>
        <v>273361.30300000001</v>
      </c>
      <c r="G31" s="597">
        <f>IFERROR(Raw_Data!K21,0)+7328</f>
        <v>229928.91500000001</v>
      </c>
      <c r="H31" s="597">
        <f>IFERROR(Raw_Data!R21,0)+7808</f>
        <v>279676.84299999999</v>
      </c>
      <c r="I31" s="597">
        <f>IFERROR(Raw_Data!Y21,0)+7520</f>
        <v>286385.77600000001</v>
      </c>
      <c r="J31" s="597">
        <f>IFERROR(Raw_Data!AF21,0)+7360</f>
        <v>214131.351</v>
      </c>
      <c r="K31" s="597">
        <f>IFERROR(Raw_Data!AM21,0)+7488</f>
        <v>215523.93400000001</v>
      </c>
      <c r="L31" s="597">
        <f>IFERROR(Raw_Data!AT21,0)+6624</f>
        <v>201968.91699999999</v>
      </c>
      <c r="M31" s="597">
        <f>IFERROR(Raw_Data!BA21,0)+7104</f>
        <v>206904.33199999999</v>
      </c>
      <c r="N31" s="597">
        <f>IFERROR(Raw_Data!BH21,0)+7328</f>
        <v>217083.32500000001</v>
      </c>
      <c r="O31" s="597">
        <f>IFERROR(Raw_Data!BO21,0)+6848</f>
        <v>224011.94699999999</v>
      </c>
      <c r="P31">
        <f>O31/(O119+O95+O74+O52+O31)</f>
        <v>0.87204221004196469</v>
      </c>
      <c r="Q31" s="106"/>
      <c r="S31" s="599"/>
    </row>
    <row r="32" spans="1:36" ht="14">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890</v>
      </c>
      <c r="C35" s="478">
        <f>IFERROR('Energy balance'!C18*'Data manipulation'!$Q109,0)</f>
        <v>0</v>
      </c>
      <c r="D35" s="478">
        <f>IFERROR('Energy balance'!D18*'Data manipulation'!$Q109,0)</f>
        <v>0</v>
      </c>
      <c r="E35" s="540">
        <f>IFERROR('Energy balance'!E18*'Data manipulation'!$Q109,0)</f>
        <v>0</v>
      </c>
      <c r="F35" s="610">
        <f t="shared" ref="F35:N35" si="5">F26-F25</f>
        <v>497908.37300000002</v>
      </c>
      <c r="G35" s="610">
        <f t="shared" si="5"/>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4">
      <c r="A36" s="106" t="s">
        <v>759</v>
      </c>
      <c r="B36" s="604" t="s">
        <v>960</v>
      </c>
      <c r="C36" s="478">
        <f>IFERROR('Energy balance'!C19*'Data manipulation'!$Q110,0)</f>
        <v>0</v>
      </c>
      <c r="D36" s="478">
        <f>IFERROR('Energy balance'!D19*'Data manipulation'!$Q110,0)</f>
        <v>0</v>
      </c>
      <c r="E36" s="478">
        <f>IFERROR('Energy balance'!E19*'Data manipulation'!$Q110,0)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4">
      <c r="A37" s="106" t="s">
        <v>759</v>
      </c>
      <c r="B37" s="589" t="s">
        <v>853</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E40" si="7">SUM(C23:C39)</f>
        <v>0</v>
      </c>
      <c r="D40" s="364">
        <f t="shared" si="7"/>
        <v>0</v>
      </c>
      <c r="E40" s="364">
        <f t="shared" si="7"/>
        <v>0</v>
      </c>
      <c r="F40" s="609">
        <f>F23+F36+F25+(F26-F25)+F29+F30+F31+F33+F34</f>
        <v>1960212.628</v>
      </c>
      <c r="G40" s="609">
        <f t="shared" ref="G40:O40" si="8">SUM(G23:G34)</f>
        <v>1974694.1869999999</v>
      </c>
      <c r="H40" s="609">
        <f t="shared" si="8"/>
        <v>2136996.9040000001</v>
      </c>
      <c r="I40" s="609">
        <f t="shared" si="8"/>
        <v>2377372.179</v>
      </c>
      <c r="J40" s="609">
        <f t="shared" si="8"/>
        <v>1952239.8569999998</v>
      </c>
      <c r="K40" s="609">
        <f t="shared" si="8"/>
        <v>1981700.2519999996</v>
      </c>
      <c r="L40" s="609">
        <f t="shared" si="8"/>
        <v>2053043.1090000002</v>
      </c>
      <c r="M40" s="609">
        <f t="shared" si="8"/>
        <v>2006728.9550000001</v>
      </c>
      <c r="N40" s="609">
        <f t="shared" si="8"/>
        <v>1915268.665</v>
      </c>
      <c r="O40" s="609">
        <f t="shared" si="8"/>
        <v>2031802.4169999999</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857</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9">O45/(O111+O89+O67+O45+O24)</f>
        <v>0.21224997445879179</v>
      </c>
      <c r="Q45" s="646"/>
      <c r="R45" s="647"/>
      <c r="V45" s="518" t="s">
        <v>773</v>
      </c>
      <c r="W45" s="106" t="s">
        <v>774</v>
      </c>
    </row>
    <row r="46" spans="1:25" ht="14">
      <c r="A46" s="106" t="s">
        <v>291</v>
      </c>
      <c r="B46" s="589" t="s">
        <v>856</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4">
      <c r="A47" s="106" t="s">
        <v>291</v>
      </c>
      <c r="B47" s="589" t="s">
        <v>855</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4">
      <c r="A49" s="106" t="s">
        <v>291</v>
      </c>
      <c r="B49" s="589" t="s">
        <v>854</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4">
      <c r="A50" s="106" t="s">
        <v>291</v>
      </c>
      <c r="B50" s="589" t="s">
        <v>852</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4">
      <c r="A51" s="106" t="s">
        <v>291</v>
      </c>
      <c r="B51" s="589" t="s">
        <v>851</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4">
      <c r="A52" s="106" t="s">
        <v>291</v>
      </c>
      <c r="B52" s="589" t="s">
        <v>850</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0.1279577899580352</v>
      </c>
      <c r="Q52" s="646"/>
      <c r="R52" s="647"/>
    </row>
    <row r="53" spans="1:25" ht="14">
      <c r="A53" s="106" t="s">
        <v>291</v>
      </c>
      <c r="B53" s="589" t="s">
        <v>849</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4">
      <c r="A56" s="106" t="s">
        <v>291</v>
      </c>
      <c r="B56" s="604" t="s">
        <v>890</v>
      </c>
      <c r="C56" s="478">
        <f>IFERROR('Energy balance'!C18*$Q131,0)</f>
        <v>0</v>
      </c>
      <c r="D56" s="478">
        <f>IFERROR('Energy balance'!D18*$Q131,0)</f>
        <v>0</v>
      </c>
      <c r="E56" s="479">
        <f>IFERROR('Energy balance'!E18*$Q131,0)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4">
      <c r="A57" s="106" t="s">
        <v>291</v>
      </c>
      <c r="B57" s="604" t="s">
        <v>960</v>
      </c>
      <c r="C57" s="478">
        <f>IFERROR('Energy balance'!C19*$Q132,0)</f>
        <v>0</v>
      </c>
      <c r="D57" s="478">
        <f>IFERROR('Energy balance'!D19*$Q132,0)</f>
        <v>0</v>
      </c>
      <c r="E57" s="478">
        <f>IFERROR('Energy balance'!E19*$Q132,0)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4">
      <c r="A58" s="106" t="s">
        <v>291</v>
      </c>
      <c r="B58" s="589" t="s">
        <v>853</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2">SUM(C44:C61)</f>
        <v>0</v>
      </c>
      <c r="D62" s="364">
        <f t="shared" si="12"/>
        <v>0</v>
      </c>
      <c r="E62" s="364">
        <f t="shared" si="12"/>
        <v>0</v>
      </c>
      <c r="F62" s="364">
        <f t="shared" si="12"/>
        <v>655563.97699999984</v>
      </c>
      <c r="G62" s="364">
        <f t="shared" si="12"/>
        <v>793061.26300000015</v>
      </c>
      <c r="H62" s="364">
        <f t="shared" si="12"/>
        <v>786874.70799999998</v>
      </c>
      <c r="I62" s="364">
        <f t="shared" si="12"/>
        <v>713023.33000000007</v>
      </c>
      <c r="J62" s="364">
        <f t="shared" si="12"/>
        <v>713607.66700000002</v>
      </c>
      <c r="K62" s="364">
        <f t="shared" si="12"/>
        <v>690130.38300000003</v>
      </c>
      <c r="L62" s="364">
        <f t="shared" si="12"/>
        <v>707219.25300000003</v>
      </c>
      <c r="M62" s="364">
        <f t="shared" si="12"/>
        <v>750659.45499999996</v>
      </c>
      <c r="N62" s="364">
        <f t="shared" si="12"/>
        <v>784367.46499999997</v>
      </c>
      <c r="O62" s="364">
        <f t="shared" si="12"/>
        <v>815107.69800000009</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857</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3">O67/(O111+O89+O67+O45+O24)</f>
        <v>4.6636959628790454E-3</v>
      </c>
      <c r="Q67" s="646"/>
    </row>
    <row r="68" spans="1:17" ht="14">
      <c r="A68" s="106" t="s">
        <v>284</v>
      </c>
      <c r="B68" s="589" t="s">
        <v>856</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3"/>
        <v>0</v>
      </c>
      <c r="Q68" s="646"/>
    </row>
    <row r="69" spans="1:17" ht="14">
      <c r="A69" s="106" t="s">
        <v>284</v>
      </c>
      <c r="B69" s="589" t="s">
        <v>855</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3"/>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3"/>
        <v>0</v>
      </c>
      <c r="Q70" s="646"/>
    </row>
    <row r="71" spans="1:17" ht="14">
      <c r="A71" s="106" t="s">
        <v>284</v>
      </c>
      <c r="B71" s="589" t="s">
        <v>854</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3"/>
        <v>0</v>
      </c>
      <c r="Q71" s="646"/>
    </row>
    <row r="72" spans="1:17" ht="14">
      <c r="A72" s="106" t="s">
        <v>284</v>
      </c>
      <c r="B72" s="589" t="s">
        <v>852</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3"/>
        <v>0</v>
      </c>
      <c r="Q72" s="648"/>
    </row>
    <row r="73" spans="1:17" ht="14">
      <c r="A73" s="106" t="s">
        <v>284</v>
      </c>
      <c r="B73" s="589" t="s">
        <v>851</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3"/>
        <v>0</v>
      </c>
      <c r="Q73" s="646"/>
    </row>
    <row r="74" spans="1:17" ht="14">
      <c r="A74" s="106" t="s">
        <v>284</v>
      </c>
      <c r="B74" s="589" t="s">
        <v>850</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3"/>
        <v>0</v>
      </c>
      <c r="Q74" s="646"/>
    </row>
    <row r="75" spans="1:17" ht="14">
      <c r="A75" s="106" t="s">
        <v>284</v>
      </c>
      <c r="B75" s="589" t="s">
        <v>849</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3"/>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3"/>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3"/>
        <v>0</v>
      </c>
      <c r="Q77" s="646"/>
    </row>
    <row r="78" spans="1:17" ht="14">
      <c r="A78" s="106" t="s">
        <v>284</v>
      </c>
      <c r="B78" s="604" t="s">
        <v>890</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3"/>
        <v>0</v>
      </c>
      <c r="Q78" s="649"/>
    </row>
    <row r="79" spans="1:17" ht="14">
      <c r="A79" s="106" t="s">
        <v>284</v>
      </c>
      <c r="B79" s="604" t="s">
        <v>960</v>
      </c>
      <c r="C79" s="478">
        <f>IFERROR('Energy balance'!C19*#REF!,0)</f>
        <v>0</v>
      </c>
      <c r="D79" s="478">
        <f>IFERROR('Energy balance'!D19*#REF!,0)</f>
        <v>0</v>
      </c>
      <c r="E79" s="478">
        <f>IFERROR('Energy balance'!E19*#REF!,0)</f>
        <v>0</v>
      </c>
      <c r="F79" s="477">
        <f>F67+F75+F68</f>
        <v>2438.7130000000002</v>
      </c>
      <c r="G79" s="477">
        <f t="shared" ref="G79:O79" si="14">G67+G75+G68</f>
        <v>3308.9079999999999</v>
      </c>
      <c r="H79" s="477">
        <f t="shared" si="14"/>
        <v>3620.538</v>
      </c>
      <c r="I79" s="477">
        <f t="shared" si="14"/>
        <v>4072.0819999999999</v>
      </c>
      <c r="J79" s="477">
        <f t="shared" si="14"/>
        <v>3644.1320000000001</v>
      </c>
      <c r="K79" s="477">
        <f t="shared" si="14"/>
        <v>3644.4560000000001</v>
      </c>
      <c r="L79" s="477">
        <f t="shared" si="14"/>
        <v>3421.4560000000001</v>
      </c>
      <c r="M79" s="477">
        <f t="shared" si="14"/>
        <v>3617.0970000000002</v>
      </c>
      <c r="N79" s="477">
        <f t="shared" si="14"/>
        <v>3891.1350000000002</v>
      </c>
      <c r="O79" s="477">
        <f t="shared" si="14"/>
        <v>4369.817</v>
      </c>
      <c r="P79">
        <f t="shared" si="13"/>
        <v>4.451268841124326E-3</v>
      </c>
      <c r="Q79" s="649"/>
    </row>
    <row r="80" spans="1:17" ht="14">
      <c r="A80" s="106" t="s">
        <v>284</v>
      </c>
      <c r="B80" s="589" t="s">
        <v>853</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3"/>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5">SUM(C66:C83)</f>
        <v>0</v>
      </c>
      <c r="D84" s="364">
        <f t="shared" si="15"/>
        <v>0</v>
      </c>
      <c r="E84" s="364">
        <f t="shared" si="15"/>
        <v>0</v>
      </c>
      <c r="F84" s="364">
        <f t="shared" si="15"/>
        <v>152360.42599999998</v>
      </c>
      <c r="G84" s="364">
        <f t="shared" si="15"/>
        <v>153113.89599999998</v>
      </c>
      <c r="H84" s="364">
        <f t="shared" si="15"/>
        <v>155611.076</v>
      </c>
      <c r="I84" s="364">
        <f t="shared" si="15"/>
        <v>154093.72899999999</v>
      </c>
      <c r="J84" s="364">
        <f t="shared" si="15"/>
        <v>149371.95700000002</v>
      </c>
      <c r="K84" s="364">
        <f t="shared" si="15"/>
        <v>148602.64600000001</v>
      </c>
      <c r="L84" s="364">
        <f t="shared" si="15"/>
        <v>151829.179</v>
      </c>
      <c r="M84" s="364">
        <f t="shared" si="15"/>
        <v>152698.21900000001</v>
      </c>
      <c r="N84" s="364">
        <f t="shared" si="15"/>
        <v>154496.83400000003</v>
      </c>
      <c r="O84" s="364">
        <f t="shared" si="15"/>
        <v>156672.99800000002</v>
      </c>
    </row>
    <row r="86" spans="1:17" ht="16" thickBot="1">
      <c r="B86" s="357" t="s">
        <v>889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857</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6">O89/(O111+O89+O67+O45+O24)</f>
        <v>0</v>
      </c>
    </row>
    <row r="90" spans="1:17" ht="14">
      <c r="A90" s="106" t="s">
        <v>292</v>
      </c>
      <c r="B90" s="589" t="s">
        <v>856</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6"/>
        <v>0</v>
      </c>
    </row>
    <row r="91" spans="1:17" ht="14">
      <c r="A91" s="106" t="s">
        <v>292</v>
      </c>
      <c r="B91" s="589" t="s">
        <v>855</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6"/>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6"/>
        <v>1</v>
      </c>
    </row>
    <row r="93" spans="1:17" ht="14">
      <c r="A93" s="106" t="s">
        <v>292</v>
      </c>
      <c r="B93" s="589" t="s">
        <v>854</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6"/>
        <v>0</v>
      </c>
      <c r="Q93" s="106"/>
    </row>
    <row r="94" spans="1:17" ht="14">
      <c r="A94" s="106" t="s">
        <v>292</v>
      </c>
      <c r="B94" s="589" t="s">
        <v>852</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6"/>
        <v>0</v>
      </c>
      <c r="Q94" s="106"/>
    </row>
    <row r="95" spans="1:17" ht="14">
      <c r="A95" s="106" t="s">
        <v>292</v>
      </c>
      <c r="B95" s="589" t="s">
        <v>851</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6"/>
        <v>0</v>
      </c>
      <c r="Q95" s="106"/>
    </row>
    <row r="96" spans="1:17" ht="14">
      <c r="A96" s="106" t="s">
        <v>292</v>
      </c>
      <c r="B96" s="589" t="s">
        <v>850</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6"/>
        <v>0</v>
      </c>
      <c r="Q96" s="106"/>
    </row>
    <row r="97" spans="1:17" ht="14">
      <c r="A97" s="106" t="s">
        <v>292</v>
      </c>
      <c r="B97" s="589" t="s">
        <v>849</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6"/>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(IFERROR(Raw_Data!O23,0))+(IFERROR(Raw_Data!P23,0))</f>
        <v>245504.394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6"/>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6"/>
        <v>0</v>
      </c>
      <c r="Q99" s="106"/>
    </row>
    <row r="100" spans="1:17" ht="14">
      <c r="A100" s="106" t="s">
        <v>292</v>
      </c>
      <c r="B100" s="604" t="s">
        <v>890</v>
      </c>
      <c r="C100" s="478">
        <f>IFERROR('Energy balance'!C18*$Q100,0)</f>
        <v>0</v>
      </c>
      <c r="D100" s="478">
        <f>IFERROR('Energy balance'!D18*$Q100,0)</f>
        <v>0</v>
      </c>
      <c r="E100" s="479">
        <f>IFERROR('Energy balance'!E18*$Q100,0)</f>
        <v>0</v>
      </c>
      <c r="F100" s="479">
        <f>F91-F90</f>
        <v>4556.4889999999996</v>
      </c>
      <c r="G100" s="479">
        <f t="shared" ref="G100:N100" si="17">G91-G90</f>
        <v>4515.51</v>
      </c>
      <c r="H100" s="479">
        <f t="shared" si="17"/>
        <v>4426.3450000000003</v>
      </c>
      <c r="I100" s="479">
        <f t="shared" si="17"/>
        <v>4427.9210000000003</v>
      </c>
      <c r="J100" s="479">
        <f t="shared" si="17"/>
        <v>4481.7510000000002</v>
      </c>
      <c r="K100" s="479">
        <f t="shared" si="17"/>
        <v>4383.0020000000004</v>
      </c>
      <c r="L100" s="479">
        <f t="shared" si="17"/>
        <v>4540.9650000000001</v>
      </c>
      <c r="M100" s="479">
        <f t="shared" si="17"/>
        <v>4282.3990000000003</v>
      </c>
      <c r="N100" s="479">
        <f t="shared" si="17"/>
        <v>4583.0569999999998</v>
      </c>
      <c r="O100" s="479">
        <f>O91-O90</f>
        <v>4539.8119999999999</v>
      </c>
      <c r="P100">
        <f t="shared" si="16"/>
        <v>9.8069927237655029E-3</v>
      </c>
      <c r="Q100" s="106"/>
    </row>
    <row r="101" spans="1:17" ht="14">
      <c r="A101" s="106" t="s">
        <v>292</v>
      </c>
      <c r="B101" s="604" t="s">
        <v>960</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6"/>
        <v>0</v>
      </c>
      <c r="Q101" s="106"/>
    </row>
    <row r="102" spans="1:17" ht="14">
      <c r="A102" s="106" t="s">
        <v>292</v>
      </c>
      <c r="B102" s="589" t="s">
        <v>853</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6"/>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8">SUM(C88:C105)</f>
        <v>0</v>
      </c>
      <c r="D106" s="364">
        <f t="shared" si="18"/>
        <v>0</v>
      </c>
      <c r="E106" s="364">
        <f t="shared" si="18"/>
        <v>0</v>
      </c>
      <c r="F106" s="364">
        <f t="shared" si="18"/>
        <v>263019.90599999996</v>
      </c>
      <c r="G106" s="364">
        <f t="shared" si="18"/>
        <v>254749.41400000002</v>
      </c>
      <c r="H106" s="364">
        <f t="shared" si="18"/>
        <v>257177.182</v>
      </c>
      <c r="I106" s="364">
        <f t="shared" si="18"/>
        <v>255907.85699999999</v>
      </c>
      <c r="J106" s="364">
        <f t="shared" si="18"/>
        <v>249268.552</v>
      </c>
      <c r="K106" s="364">
        <f t="shared" si="18"/>
        <v>247404.984</v>
      </c>
      <c r="L106" s="364">
        <f t="shared" si="18"/>
        <v>242062.54400000002</v>
      </c>
      <c r="M106" s="364">
        <f t="shared" si="18"/>
        <v>241632.359</v>
      </c>
      <c r="N106" s="364">
        <f t="shared" si="18"/>
        <v>244284.55500000002</v>
      </c>
      <c r="O106" s="364">
        <f>SUM(O88:O90)+SUM(O94:O100)</f>
        <v>240671.084</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857</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9">O111/(O111+O89+O67+O45+O24)</f>
        <v>0</v>
      </c>
      <c r="Q111" s="106"/>
    </row>
    <row r="112" spans="1:17" ht="14">
      <c r="A112" s="106" t="s">
        <v>293</v>
      </c>
      <c r="B112" s="589" t="s">
        <v>856</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9"/>
        <v>0</v>
      </c>
      <c r="Q112" s="106"/>
    </row>
    <row r="113" spans="1:17" ht="14">
      <c r="A113" s="106" t="s">
        <v>293</v>
      </c>
      <c r="B113" s="589" t="s">
        <v>855</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9"/>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9"/>
        <v>0</v>
      </c>
      <c r="Q114" s="106"/>
    </row>
    <row r="115" spans="1:17" ht="14">
      <c r="A115" s="106" t="s">
        <v>293</v>
      </c>
      <c r="B115" s="589" t="s">
        <v>854</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9"/>
        <v>0</v>
      </c>
      <c r="Q115" s="106"/>
    </row>
    <row r="116" spans="1:17" ht="14">
      <c r="A116" s="106" t="s">
        <v>293</v>
      </c>
      <c r="B116" s="589" t="s">
        <v>852</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9"/>
        <v>0</v>
      </c>
      <c r="Q116" s="106"/>
    </row>
    <row r="117" spans="1:17" ht="14">
      <c r="A117" s="106" t="s">
        <v>293</v>
      </c>
      <c r="B117" s="589" t="s">
        <v>851</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9"/>
        <v>0</v>
      </c>
      <c r="Q117" s="106"/>
    </row>
    <row r="118" spans="1:17" ht="14">
      <c r="A118" s="106" t="s">
        <v>293</v>
      </c>
      <c r="B118" s="589" t="s">
        <v>850</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9"/>
        <v>0</v>
      </c>
      <c r="Q118" s="106"/>
    </row>
    <row r="119" spans="1:17" ht="14">
      <c r="A119" s="106" t="s">
        <v>293</v>
      </c>
      <c r="B119" s="589" t="s">
        <v>849</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9"/>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9"/>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9"/>
        <v>0</v>
      </c>
      <c r="Q121" s="361"/>
    </row>
    <row r="122" spans="1:17" ht="14">
      <c r="A122" s="106" t="s">
        <v>293</v>
      </c>
      <c r="B122" s="604" t="s">
        <v>890</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9"/>
        <v>0</v>
      </c>
      <c r="Q122" s="106"/>
    </row>
    <row r="123" spans="1:17" ht="14">
      <c r="A123" s="106" t="s">
        <v>293</v>
      </c>
      <c r="B123" s="604" t="s">
        <v>960</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9"/>
        <v>0</v>
      </c>
      <c r="Q123" s="106"/>
    </row>
    <row r="124" spans="1:17" ht="14">
      <c r="A124" s="106" t="s">
        <v>293</v>
      </c>
      <c r="B124" s="589" t="s">
        <v>853</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9"/>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20">SUM(D110:D127)</f>
        <v>0</v>
      </c>
      <c r="E128" s="364">
        <f t="shared" ref="E128" si="21">SUM(E110:E127)</f>
        <v>0</v>
      </c>
      <c r="F128" s="364">
        <f t="shared" ref="F128" si="22">SUM(F110:F127)</f>
        <v>4470.5919999999996</v>
      </c>
      <c r="G128" s="364">
        <f t="shared" ref="G128" si="23">SUM(G110:G127)</f>
        <v>4309.6859999999997</v>
      </c>
      <c r="H128" s="364">
        <f t="shared" ref="H128" si="24">SUM(H110:H127)</f>
        <v>4322.308</v>
      </c>
      <c r="I128" s="364">
        <f t="shared" ref="I128" si="25">SUM(I110:I127)</f>
        <v>4290.7569999999996</v>
      </c>
      <c r="J128" s="364">
        <f t="shared" ref="J128" si="26">SUM(J110:J127)</f>
        <v>4176.9250000000002</v>
      </c>
      <c r="K128" s="364">
        <f t="shared" ref="K128" si="27">SUM(K110:K127)</f>
        <v>4149.1220000000003</v>
      </c>
      <c r="L128" s="364">
        <f t="shared" ref="L128" si="28">SUM(L110:L127)</f>
        <v>4449.33</v>
      </c>
      <c r="M128" s="364">
        <f t="shared" ref="M128" si="29">SUM(M110:M127)</f>
        <v>4615.2</v>
      </c>
      <c r="N128" s="364">
        <f t="shared" ref="N128:O128" si="30">SUM(N110:N127)</f>
        <v>4454.8270000000002</v>
      </c>
      <c r="O128" s="364">
        <f t="shared" si="30"/>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00000000-0004-0000-0B00-000000000000}"/>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T27"/>
  <sheetViews>
    <sheetView zoomScale="70" zoomScaleNormal="70" workbookViewId="0">
      <pane xSplit="2" ySplit="10" topLeftCell="C11" activePane="bottomRight" state="frozen"/>
      <selection pane="topRight"/>
      <selection pane="bottomLeft"/>
      <selection pane="bottomRight" activeCell="B14" sqref="B14"/>
    </sheetView>
  </sheetViews>
  <sheetFormatPr defaultColWidth="8.81640625" defaultRowHeight="11.5" customHeight="1"/>
  <cols>
    <col min="1" max="1" width="2.1796875" style="583" customWidth="1"/>
    <col min="2" max="2" width="29.81640625" style="583" customWidth="1"/>
    <col min="3" max="71" width="19.81640625" style="583" customWidth="1"/>
    <col min="72" max="72" width="29.81640625" style="583" customWidth="1"/>
    <col min="73" max="16384" width="8.8164062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59" t="s">
        <v>879</v>
      </c>
      <c r="B8" s="659" t="s">
        <v>879</v>
      </c>
      <c r="C8" s="660" t="s">
        <v>878</v>
      </c>
      <c r="D8" s="660" t="s">
        <v>878</v>
      </c>
      <c r="E8" s="660" t="s">
        <v>878</v>
      </c>
      <c r="F8" s="660" t="s">
        <v>878</v>
      </c>
      <c r="G8" s="660" t="s">
        <v>878</v>
      </c>
      <c r="H8" s="660" t="s">
        <v>878</v>
      </c>
      <c r="I8" s="660" t="s">
        <v>878</v>
      </c>
      <c r="J8" s="660" t="s">
        <v>877</v>
      </c>
      <c r="K8" s="660" t="s">
        <v>877</v>
      </c>
      <c r="L8" s="660" t="s">
        <v>877</v>
      </c>
      <c r="M8" s="660" t="s">
        <v>877</v>
      </c>
      <c r="N8" s="660" t="s">
        <v>877</v>
      </c>
      <c r="O8" s="660" t="s">
        <v>877</v>
      </c>
      <c r="P8" s="660" t="s">
        <v>877</v>
      </c>
      <c r="Q8" s="660" t="s">
        <v>876</v>
      </c>
      <c r="R8" s="660" t="s">
        <v>876</v>
      </c>
      <c r="S8" s="660" t="s">
        <v>876</v>
      </c>
      <c r="T8" s="660" t="s">
        <v>876</v>
      </c>
      <c r="U8" s="660" t="s">
        <v>876</v>
      </c>
      <c r="V8" s="660" t="s">
        <v>876</v>
      </c>
      <c r="W8" s="660" t="s">
        <v>876</v>
      </c>
      <c r="X8" s="660" t="s">
        <v>875</v>
      </c>
      <c r="Y8" s="660" t="s">
        <v>875</v>
      </c>
      <c r="Z8" s="660" t="s">
        <v>875</v>
      </c>
      <c r="AA8" s="660" t="s">
        <v>875</v>
      </c>
      <c r="AB8" s="660" t="s">
        <v>875</v>
      </c>
      <c r="AC8" s="660" t="s">
        <v>875</v>
      </c>
      <c r="AD8" s="660" t="s">
        <v>875</v>
      </c>
      <c r="AE8" s="660" t="s">
        <v>874</v>
      </c>
      <c r="AF8" s="660" t="s">
        <v>874</v>
      </c>
      <c r="AG8" s="660" t="s">
        <v>874</v>
      </c>
      <c r="AH8" s="660" t="s">
        <v>874</v>
      </c>
      <c r="AI8" s="660" t="s">
        <v>874</v>
      </c>
      <c r="AJ8" s="660" t="s">
        <v>874</v>
      </c>
      <c r="AK8" s="660" t="s">
        <v>874</v>
      </c>
      <c r="AL8" s="660" t="s">
        <v>873</v>
      </c>
      <c r="AM8" s="660" t="s">
        <v>873</v>
      </c>
      <c r="AN8" s="660" t="s">
        <v>873</v>
      </c>
      <c r="AO8" s="660" t="s">
        <v>873</v>
      </c>
      <c r="AP8" s="660" t="s">
        <v>873</v>
      </c>
      <c r="AQ8" s="660" t="s">
        <v>873</v>
      </c>
      <c r="AR8" s="660" t="s">
        <v>873</v>
      </c>
      <c r="AS8" s="660" t="s">
        <v>872</v>
      </c>
      <c r="AT8" s="660" t="s">
        <v>872</v>
      </c>
      <c r="AU8" s="660" t="s">
        <v>872</v>
      </c>
      <c r="AV8" s="660" t="s">
        <v>872</v>
      </c>
      <c r="AW8" s="660" t="s">
        <v>872</v>
      </c>
      <c r="AX8" s="660" t="s">
        <v>872</v>
      </c>
      <c r="AY8" s="660" t="s">
        <v>872</v>
      </c>
      <c r="AZ8" s="660" t="s">
        <v>871</v>
      </c>
      <c r="BA8" s="660" t="s">
        <v>871</v>
      </c>
      <c r="BB8" s="660" t="s">
        <v>871</v>
      </c>
      <c r="BC8" s="660" t="s">
        <v>871</v>
      </c>
      <c r="BD8" s="660" t="s">
        <v>871</v>
      </c>
      <c r="BE8" s="660" t="s">
        <v>871</v>
      </c>
      <c r="BF8" s="660" t="s">
        <v>871</v>
      </c>
      <c r="BG8" s="660" t="s">
        <v>870</v>
      </c>
      <c r="BH8" s="660" t="s">
        <v>870</v>
      </c>
      <c r="BI8" s="660" t="s">
        <v>870</v>
      </c>
      <c r="BJ8" s="660" t="s">
        <v>870</v>
      </c>
      <c r="BK8" s="660" t="s">
        <v>870</v>
      </c>
      <c r="BL8" s="660" t="s">
        <v>870</v>
      </c>
      <c r="BM8" s="660" t="s">
        <v>870</v>
      </c>
      <c r="BN8" s="660" t="s">
        <v>869</v>
      </c>
      <c r="BO8" s="660" t="s">
        <v>869</v>
      </c>
      <c r="BP8" s="660" t="s">
        <v>869</v>
      </c>
      <c r="BQ8" s="660" t="s">
        <v>869</v>
      </c>
      <c r="BR8" s="660" t="s">
        <v>869</v>
      </c>
      <c r="BS8" s="660" t="s">
        <v>869</v>
      </c>
      <c r="BT8" s="660" t="s">
        <v>869</v>
      </c>
    </row>
    <row r="9" spans="1:72">
      <c r="A9" s="659" t="s">
        <v>868</v>
      </c>
      <c r="B9" s="659"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V22" sqref="V22"/>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66" t="s">
        <v>224</v>
      </c>
    </row>
    <row r="6" spans="2:22" ht="28.75" customHeight="1">
      <c r="B6" s="331" t="s">
        <v>223</v>
      </c>
      <c r="C6" s="331" t="s">
        <v>229</v>
      </c>
      <c r="D6" s="333">
        <v>0.7</v>
      </c>
      <c r="E6" s="666"/>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3" t="s">
        <v>242</v>
      </c>
      <c r="C38" s="673"/>
      <c r="D38" s="673"/>
      <c r="E38" s="673"/>
      <c r="F38" s="300"/>
      <c r="G38" s="300"/>
      <c r="H38" s="300"/>
    </row>
    <row r="39" spans="2:8" ht="14.5" thickBot="1">
      <c r="B39" s="337"/>
      <c r="C39" s="337"/>
      <c r="D39" s="337"/>
      <c r="E39" s="337"/>
      <c r="F39" s="300"/>
      <c r="G39" s="300"/>
      <c r="H39" s="300"/>
    </row>
    <row r="40" spans="2:8" ht="14">
      <c r="B40" s="671"/>
      <c r="C40" s="674" t="s">
        <v>243</v>
      </c>
      <c r="D40" s="661" t="s">
        <v>244</v>
      </c>
      <c r="E40" s="662"/>
      <c r="F40" s="300"/>
      <c r="G40" s="300"/>
      <c r="H40" s="300"/>
    </row>
    <row r="41" spans="2:8" ht="14.5" thickBot="1">
      <c r="B41" s="672"/>
      <c r="C41" s="675"/>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63" t="s">
        <v>249</v>
      </c>
      <c r="C44" s="664"/>
      <c r="D44" s="664"/>
      <c r="E44" s="665"/>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63" t="s">
        <v>254</v>
      </c>
      <c r="C50" s="664"/>
      <c r="D50" s="664"/>
      <c r="E50" s="665"/>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68" t="s">
        <v>255</v>
      </c>
      <c r="C56" s="669"/>
      <c r="D56" s="669"/>
      <c r="E56" s="670"/>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68" t="s">
        <v>261</v>
      </c>
      <c r="C63" s="669"/>
      <c r="D63" s="669"/>
      <c r="E63" s="670"/>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68" t="s">
        <v>267</v>
      </c>
      <c r="C70" s="669"/>
      <c r="D70" s="669"/>
      <c r="E70" s="670"/>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7" t="s">
        <v>298</v>
      </c>
      <c r="C129" s="667"/>
      <c r="D129" s="667"/>
      <c r="E129" s="667"/>
      <c r="F129" s="667"/>
      <c r="G129" s="667"/>
      <c r="H129" s="667"/>
      <c r="I129" s="667"/>
      <c r="J129" s="667"/>
      <c r="K129" s="667"/>
    </row>
    <row r="130" spans="1:11" ht="15.5">
      <c r="B130" s="676" t="s">
        <v>299</v>
      </c>
      <c r="C130" s="676"/>
      <c r="D130" s="676"/>
      <c r="E130" s="676"/>
      <c r="F130" s="676"/>
      <c r="G130" s="676"/>
      <c r="H130" s="676"/>
      <c r="I130" s="676"/>
      <c r="J130" s="676"/>
      <c r="K130" s="676"/>
    </row>
    <row r="131" spans="1:11" ht="16" thickBot="1">
      <c r="B131" s="365"/>
      <c r="C131" s="366"/>
      <c r="D131" s="366"/>
      <c r="E131" s="366"/>
      <c r="F131" s="366"/>
      <c r="G131" s="366"/>
      <c r="H131" s="366"/>
      <c r="I131" s="366"/>
      <c r="J131" s="366"/>
      <c r="K131" s="366"/>
    </row>
    <row r="132" spans="1:11" ht="15.5">
      <c r="B132" s="677" t="s">
        <v>300</v>
      </c>
      <c r="C132" s="679" t="s">
        <v>106</v>
      </c>
      <c r="D132" s="681" t="s">
        <v>301</v>
      </c>
      <c r="E132" s="681"/>
      <c r="F132" s="679" t="s">
        <v>302</v>
      </c>
      <c r="G132" s="681" t="s">
        <v>301</v>
      </c>
      <c r="H132" s="681"/>
      <c r="I132" s="679" t="s">
        <v>303</v>
      </c>
      <c r="J132" s="681" t="s">
        <v>301</v>
      </c>
      <c r="K132" s="682"/>
    </row>
    <row r="133" spans="1:11" ht="15.5" thickBot="1">
      <c r="B133" s="678"/>
      <c r="C133" s="680"/>
      <c r="D133" s="367" t="s">
        <v>304</v>
      </c>
      <c r="E133" s="367" t="s">
        <v>305</v>
      </c>
      <c r="F133" s="680"/>
      <c r="G133" s="367" t="s">
        <v>304</v>
      </c>
      <c r="H133" s="367" t="s">
        <v>305</v>
      </c>
      <c r="I133" s="680"/>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83" t="s">
        <v>203</v>
      </c>
      <c r="C2" s="683"/>
      <c r="D2" s="683"/>
      <c r="E2" s="683"/>
      <c r="F2" s="683"/>
      <c r="G2" s="683"/>
      <c r="H2" s="683"/>
      <c r="I2" s="683"/>
      <c r="J2" s="683"/>
      <c r="K2" s="683"/>
      <c r="L2" s="683"/>
      <c r="M2" s="683"/>
      <c r="N2" s="683"/>
    </row>
    <row r="3" spans="2:15" ht="14.5" thickBot="1">
      <c r="B3" s="684" t="s">
        <v>204</v>
      </c>
      <c r="C3" s="684"/>
      <c r="D3" s="684"/>
      <c r="E3" s="684"/>
      <c r="F3" s="684"/>
      <c r="G3" s="684"/>
      <c r="H3" s="684"/>
      <c r="I3" s="684"/>
      <c r="J3" s="684"/>
      <c r="K3" s="684"/>
      <c r="L3" s="684"/>
      <c r="M3" s="684"/>
      <c r="N3" s="684"/>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168</v>
      </c>
      <c r="I2" s="171"/>
      <c r="J2" s="171"/>
      <c r="K2" s="171"/>
    </row>
    <row r="3" spans="1:20" ht="16.5" thickTop="1" thickBot="1">
      <c r="A3" s="108" t="s">
        <v>1</v>
      </c>
      <c r="B3" s="109" t="s">
        <v>78</v>
      </c>
      <c r="C3" s="685" t="s">
        <v>137</v>
      </c>
      <c r="D3" s="686"/>
      <c r="E3" s="687"/>
      <c r="H3" s="171"/>
      <c r="I3" s="171"/>
      <c r="J3" s="171"/>
      <c r="K3" s="171"/>
    </row>
    <row r="4" spans="1:20" ht="16" customHeight="1" thickBot="1">
      <c r="A4" s="688" t="s">
        <v>906</v>
      </c>
      <c r="B4" s="116" t="s">
        <v>49</v>
      </c>
      <c r="C4" s="122" t="s">
        <v>178</v>
      </c>
      <c r="D4" s="117" t="s">
        <v>179</v>
      </c>
      <c r="E4" s="118" t="s">
        <v>51</v>
      </c>
      <c r="H4" s="171"/>
      <c r="I4" s="172">
        <v>2010</v>
      </c>
      <c r="J4" s="171"/>
      <c r="K4" s="171"/>
    </row>
    <row r="5" spans="1:20" ht="16" customHeight="1">
      <c r="A5" s="689"/>
      <c r="B5" s="110" t="s">
        <v>273</v>
      </c>
      <c r="C5" s="123" t="s">
        <v>178</v>
      </c>
      <c r="D5" s="111" t="s">
        <v>179</v>
      </c>
      <c r="E5" s="112" t="s">
        <v>51</v>
      </c>
      <c r="H5" s="173"/>
      <c r="I5" s="174" t="s">
        <v>169</v>
      </c>
      <c r="J5" s="175"/>
      <c r="K5" s="176"/>
    </row>
    <row r="6" spans="1:20" ht="16" customHeight="1">
      <c r="A6" s="689"/>
      <c r="B6" s="110" t="s">
        <v>275</v>
      </c>
      <c r="C6" s="123" t="s">
        <v>178</v>
      </c>
      <c r="D6" s="111" t="s">
        <v>179</v>
      </c>
      <c r="E6" s="112" t="s">
        <v>51</v>
      </c>
      <c r="H6" s="177" t="s">
        <v>167</v>
      </c>
      <c r="I6" s="178" t="e">
        <f>#REF!</f>
        <v>#REF!</v>
      </c>
      <c r="J6" s="179" t="s">
        <v>170</v>
      </c>
      <c r="K6" s="692" t="s">
        <v>116</v>
      </c>
    </row>
    <row r="7" spans="1:20" ht="16" customHeight="1">
      <c r="A7" s="689"/>
      <c r="B7" s="110" t="s">
        <v>50</v>
      </c>
      <c r="C7" s="123" t="s">
        <v>178</v>
      </c>
      <c r="D7" s="111" t="s">
        <v>179</v>
      </c>
      <c r="E7" s="112" t="s">
        <v>51</v>
      </c>
      <c r="H7" s="177" t="s">
        <v>171</v>
      </c>
      <c r="I7" s="178" t="e">
        <f>#REF!</f>
        <v>#REF!</v>
      </c>
      <c r="J7" s="179" t="s">
        <v>172</v>
      </c>
      <c r="K7" s="693"/>
    </row>
    <row r="8" spans="1:20" ht="16" customHeight="1">
      <c r="A8" s="689"/>
      <c r="B8" s="110" t="s">
        <v>274</v>
      </c>
      <c r="C8" s="123" t="s">
        <v>178</v>
      </c>
      <c r="D8" s="111" t="s">
        <v>179</v>
      </c>
      <c r="E8" s="112" t="s">
        <v>51</v>
      </c>
      <c r="H8" s="177" t="s">
        <v>174</v>
      </c>
      <c r="I8" s="178" t="e">
        <f>#REF!</f>
        <v>#REF!</v>
      </c>
      <c r="J8" s="179" t="s">
        <v>172</v>
      </c>
      <c r="K8" s="694"/>
    </row>
    <row r="9" spans="1:20" ht="16" customHeight="1" thickBot="1">
      <c r="A9" s="690"/>
      <c r="B9" s="119" t="s">
        <v>276</v>
      </c>
      <c r="C9" s="125" t="s">
        <v>178</v>
      </c>
      <c r="D9" s="120" t="s">
        <v>179</v>
      </c>
      <c r="E9" s="121" t="s">
        <v>51</v>
      </c>
      <c r="H9" s="177" t="s">
        <v>166</v>
      </c>
      <c r="I9" s="178" t="e">
        <f>#REF!</f>
        <v>#REF!</v>
      </c>
      <c r="J9" s="179" t="s">
        <v>175</v>
      </c>
      <c r="K9" s="692" t="s">
        <v>173</v>
      </c>
      <c r="N9" s="1"/>
      <c r="O9" s="1"/>
      <c r="P9" s="1"/>
      <c r="Q9" s="1"/>
    </row>
    <row r="10" spans="1:20" ht="16" customHeight="1">
      <c r="A10" s="689" t="s">
        <v>185</v>
      </c>
      <c r="B10" s="110" t="s">
        <v>49</v>
      </c>
      <c r="C10" s="123" t="s">
        <v>178</v>
      </c>
      <c r="D10" s="111" t="s">
        <v>179</v>
      </c>
      <c r="E10" s="112" t="s">
        <v>51</v>
      </c>
      <c r="H10" s="177" t="s">
        <v>176</v>
      </c>
      <c r="I10" s="178" t="e">
        <f>#REF!</f>
        <v>#REF!</v>
      </c>
      <c r="J10" s="179" t="s">
        <v>175</v>
      </c>
      <c r="K10" s="694"/>
      <c r="N10" s="1"/>
      <c r="O10" s="1"/>
      <c r="P10" s="1"/>
      <c r="Q10" s="1"/>
    </row>
    <row r="11" spans="1:20" ht="16" customHeight="1">
      <c r="A11" s="689"/>
      <c r="B11" s="110" t="s">
        <v>273</v>
      </c>
      <c r="C11" s="123" t="s">
        <v>178</v>
      </c>
      <c r="D11" s="111" t="s">
        <v>179</v>
      </c>
      <c r="E11" s="112" t="s">
        <v>51</v>
      </c>
      <c r="H11" s="177" t="s">
        <v>177</v>
      </c>
      <c r="I11" s="178" t="e">
        <f>#REF!</f>
        <v>#REF!</v>
      </c>
      <c r="J11" s="179" t="s">
        <v>175</v>
      </c>
      <c r="K11" s="180" t="s">
        <v>180</v>
      </c>
      <c r="N11" s="1"/>
      <c r="O11" s="1"/>
      <c r="P11" s="1"/>
      <c r="Q11" s="1"/>
    </row>
    <row r="12" spans="1:20" ht="16" customHeight="1" thickBot="1">
      <c r="A12" s="689"/>
      <c r="B12" s="110" t="s">
        <v>275</v>
      </c>
      <c r="C12" s="123" t="s">
        <v>178</v>
      </c>
      <c r="D12" s="111" t="s">
        <v>179</v>
      </c>
      <c r="E12" s="112" t="s">
        <v>51</v>
      </c>
      <c r="H12" s="181" t="s">
        <v>106</v>
      </c>
      <c r="I12" s="182" t="e">
        <f>SUM(I6:I11)</f>
        <v>#REF!</v>
      </c>
      <c r="J12" s="183"/>
      <c r="K12" s="184"/>
      <c r="N12" s="1"/>
      <c r="O12" s="1"/>
      <c r="P12" s="1"/>
      <c r="Q12" s="1"/>
    </row>
    <row r="13" spans="1:20" ht="16" customHeight="1">
      <c r="A13" s="689"/>
      <c r="B13" s="110" t="s">
        <v>50</v>
      </c>
      <c r="C13" s="123" t="s">
        <v>178</v>
      </c>
      <c r="D13" s="111" t="s">
        <v>179</v>
      </c>
      <c r="E13" s="112" t="s">
        <v>51</v>
      </c>
      <c r="N13" s="1"/>
      <c r="O13" s="1"/>
      <c r="P13" s="1"/>
      <c r="Q13" s="1"/>
    </row>
    <row r="14" spans="1:20" ht="16" customHeight="1">
      <c r="A14" s="689"/>
      <c r="B14" s="110" t="s">
        <v>274</v>
      </c>
      <c r="C14" s="123" t="s">
        <v>178</v>
      </c>
      <c r="D14" s="111" t="s">
        <v>179</v>
      </c>
      <c r="E14" s="112" t="s">
        <v>51</v>
      </c>
      <c r="N14" s="1"/>
      <c r="O14" s="1"/>
      <c r="P14" s="1"/>
      <c r="Q14" s="1"/>
      <c r="R14" s="1"/>
      <c r="S14" s="1"/>
      <c r="T14" s="1"/>
    </row>
    <row r="15" spans="1:20" ht="16" customHeight="1" thickBot="1">
      <c r="A15" s="691"/>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7" t="s">
        <v>98</v>
      </c>
      <c r="C7" s="697"/>
      <c r="D7" s="698" t="s">
        <v>99</v>
      </c>
      <c r="E7" s="698"/>
      <c r="F7" s="699" t="s">
        <v>100</v>
      </c>
      <c r="G7" s="699"/>
      <c r="H7" s="699" t="s">
        <v>101</v>
      </c>
      <c r="I7" s="699"/>
      <c r="J7" s="700" t="s">
        <v>102</v>
      </c>
      <c r="K7" s="700"/>
      <c r="L7" s="695" t="s">
        <v>103</v>
      </c>
      <c r="M7" s="695"/>
      <c r="N7" s="696" t="s">
        <v>104</v>
      </c>
      <c r="O7" s="696"/>
      <c r="P7" s="696" t="s">
        <v>105</v>
      </c>
      <c r="Q7" s="696"/>
      <c r="U7" s="702" t="s">
        <v>69</v>
      </c>
      <c r="V7" s="702"/>
      <c r="W7" s="702" t="s">
        <v>71</v>
      </c>
      <c r="X7" s="702"/>
      <c r="Y7" s="702" t="s">
        <v>73</v>
      </c>
      <c r="Z7" s="702"/>
      <c r="AA7" s="143" t="s">
        <v>70</v>
      </c>
      <c r="AB7" s="143"/>
      <c r="AC7" s="143" t="s">
        <v>72</v>
      </c>
      <c r="AD7" s="143"/>
      <c r="AE7" s="143" t="s">
        <v>74</v>
      </c>
      <c r="AF7" s="143"/>
      <c r="AJ7" s="702" t="e">
        <f>Commodities!#REF!</f>
        <v>#REF!</v>
      </c>
      <c r="AK7" s="702"/>
      <c r="AL7" s="702" t="str">
        <f>Commodities!$C$7</f>
        <v>RHUDB</v>
      </c>
      <c r="AM7" s="702"/>
      <c r="AN7" s="702" t="str">
        <f>Commodities!$C$8</f>
        <v>RHRDB</v>
      </c>
      <c r="AO7" s="702"/>
      <c r="AP7" s="701" t="e">
        <f>Commodities!#REF!</f>
        <v>#REF!</v>
      </c>
      <c r="AQ7" s="701"/>
      <c r="AR7" s="701" t="str">
        <f>Commodities!$C$9</f>
        <v>RHUMB</v>
      </c>
      <c r="AS7" s="701"/>
      <c r="AT7" s="701" t="str">
        <f>Commodities!$C$10</f>
        <v>RHRMB</v>
      </c>
      <c r="AU7" s="70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2022-05-02T11:59:46Z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