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C75EC279-C5D4-47B3-9670-8B99A08433B3}" xr6:coauthVersionLast="47" xr6:coauthVersionMax="47" xr10:uidLastSave="{00000000-0000-0000-0000-000000000000}"/>
  <bookViews>
    <workbookView xWindow="-110" yWindow="-110" windowWidth="19420" windowHeight="10420" tabRatio="862" firstSheet="2"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3" i="267" l="1"/>
  <c r="H103" i="267"/>
  <c r="I103" i="267"/>
  <c r="J103" i="267"/>
  <c r="K103" i="267"/>
  <c r="L103" i="267"/>
  <c r="M103" i="267"/>
  <c r="N103" i="267"/>
  <c r="O103" i="267"/>
  <c r="F103" i="267"/>
  <c r="O31" i="267"/>
  <c r="N31" i="267"/>
  <c r="M31" i="267"/>
  <c r="L31" i="267"/>
  <c r="K31" i="267"/>
  <c r="J31" i="267"/>
  <c r="I31" i="267"/>
  <c r="H31" i="267"/>
  <c r="G31" i="267"/>
  <c r="F31" i="267"/>
  <c r="F25" i="267"/>
  <c r="S20" i="269"/>
  <c r="S16" i="269"/>
  <c r="S12" i="269"/>
  <c r="S8" i="269"/>
  <c r="S70" i="269"/>
  <c r="S62" i="269"/>
  <c r="S54" i="269"/>
  <c r="S46" i="269"/>
  <c r="G96" i="267" l="1"/>
  <c r="O33" i="267"/>
  <c r="D5" i="273"/>
  <c r="D10" i="264" l="1"/>
  <c r="B17" i="264"/>
  <c r="AJ54" i="264"/>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P31" i="267" s="1"/>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35" i="267" s="1"/>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35" i="267" s="1"/>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L57" i="267" l="1"/>
  <c r="F82" i="267"/>
  <c r="F78" i="267"/>
  <c r="J78" i="267"/>
  <c r="J82" i="267" s="1"/>
  <c r="M78" i="267"/>
  <c r="M82" i="267" s="1"/>
  <c r="O35" i="267"/>
  <c r="G56" i="267"/>
  <c r="H56" i="267"/>
  <c r="K56" i="267"/>
  <c r="O56" i="267"/>
  <c r="N82"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H36" i="267"/>
  <c r="H40" i="267" s="1"/>
  <c r="N40" i="267"/>
  <c r="F57" i="267"/>
  <c r="F61" i="267" s="1"/>
  <c r="J57" i="267"/>
  <c r="J61" i="267" s="1"/>
  <c r="H78" i="267"/>
  <c r="H82" i="267" s="1"/>
  <c r="L78" i="267"/>
  <c r="L82" i="267" s="1"/>
  <c r="O78" i="267"/>
  <c r="O82" i="267" s="1"/>
  <c r="F36" i="267"/>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Z1" i="260"/>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F40" i="267"/>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M99" i="267"/>
  <c r="L99" i="267"/>
  <c r="K99" i="267"/>
  <c r="J99" i="267"/>
  <c r="I99" i="267"/>
  <c r="H99" i="267"/>
  <c r="G99" i="267"/>
  <c r="F99" i="267"/>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F55" i="221" l="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B6" i="260" l="1"/>
  <c r="AE43"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<sst xmlns="http://schemas.openxmlformats.org/spreadsheetml/2006/main" count="4835" uniqueCount="961">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</sst>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4">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3" fontId="7" fillId="0" borderId="0" xfId="0" applyNumberFormat="1" applyFont="1"/>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zoomScale="55" zoomScaleNormal="55" workbookViewId="0">
      <selection activeCell="S20" sqref="S20"/>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6"/>
      <c r="M4" s="657"/>
      <c r="N4" s="657"/>
      <c r="O4" s="657"/>
      <c r="P4" s="657"/>
      <c r="Q4" s="657"/>
      <c r="R4" s="657"/>
      <c r="S4" s="657"/>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D8" sqref="D8"/>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H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M1" zoomScale="55" zoomScaleNormal="55" workbookViewId="0">
      <selection activeCell="V6" sqref="V6"/>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24"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3.5"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44146.6</v>
      </c>
      <c r="J6" s="250">
        <f>ROUNDUP(AC6/($O6*$P6)*$R6,1)</f>
        <v>0</v>
      </c>
      <c r="K6" s="250">
        <f>ROUNDUP(AD6/($O6*$P6)*$R6,1)</f>
        <v>0</v>
      </c>
      <c r="L6" s="461">
        <v>0.72</v>
      </c>
      <c r="M6" s="461">
        <v>0.72</v>
      </c>
      <c r="N6" s="461">
        <v>0.72</v>
      </c>
      <c r="O6" s="244">
        <f>31.536/1000</f>
        <v>3.1536000000000002E-2</v>
      </c>
      <c r="P6" s="460">
        <v>0.2</v>
      </c>
      <c r="Q6" s="245">
        <v>22</v>
      </c>
      <c r="R6" s="227">
        <v>1.05</v>
      </c>
      <c r="T6" s="268">
        <f>SUM(I6:K6)*O6*P6/L6</f>
        <v>386.72421600000007</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24717.8</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219.57761712676063</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36790.299999999996</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293.72630400000003</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20889.199999999997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166.77514207594936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25962.5</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227.43150000000003</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14536.5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129.13325746478876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1614.6999999999998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12.891437772151898</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916.80000000000007</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7.3195455189873435</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0</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36684.400000000001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321.35534400000006</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20482.5</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181.95383661971834</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0</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30571.5</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244.07666430379749</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17309.8</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138.19793741772153</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0</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21573.899999999998</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188.98736400000001</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124.83561211055998</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12045.7</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107.00653385915496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69.701003089769998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0</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0</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1341.6999999999998</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10.711861063291138</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7.7636182520399997</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759.7</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6.0652909367088617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4.3958093982600008</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0</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39078.1</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342.32415600000002</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234.73641421439999</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16381.300000000001</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145.52131740845076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98.399883023399994</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0</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0</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32566.399999999998</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260.00354187341776</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195.62144095956003</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13843.9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110.52689377215191</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83.15813051887001</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0</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0</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22981.699999999997</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201.31969199999997</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138.04736740704001</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9633.8000000000011</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85.580708957746495</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57.868502635190005</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1429.3</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11.411241721518989</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8.5852670013600001</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607.6</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4.8509553417721518</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3.64957312622</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0</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38862.699999999997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340.43725200000006</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233.44240560479994</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19341</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171.81345802816904</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116.1783985404</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32386.899999999998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258.57045022784808</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194.54305766026999</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16345.2</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130.49676637974684</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98.182824333220012</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0</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0</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22855</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200.20980000000003</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137.28636710567997</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11374.4</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101.04312067605635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68.323962951140004</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0</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0</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1421.3999999999999</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11.348169721518987</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8.5379398346199995</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717.4</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5.727576303797469</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4.3089640773200006</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0</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233.44240560479994</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116.1783985404</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0</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194.54305766026999</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98.182824333220012</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0</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137.28636710567997</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68.323962951140004</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0</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8.5379398346199995</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4.3089640773200006</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zoomScale="60" zoomScaleNormal="60" workbookViewId="0">
      <selection activeCell="AZ26" sqref="AZ26"/>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8"/>
      <c r="BM19" s="658"/>
      <c r="BN19" s="658"/>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8"/>
      <c r="BM63" s="658"/>
      <c r="BN63" s="658"/>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C44" zoomScale="60" zoomScaleNormal="60" workbookViewId="0">
      <selection activeCell="R24" sqref="R24"/>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27" ht="2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1"/>
  <sheetViews>
    <sheetView tabSelected="1" topLeftCell="A102" zoomScale="60" zoomScaleNormal="60" workbookViewId="0">
      <selection activeCell="F103" sqref="F103"/>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927</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906</v>
      </c>
      <c r="Y20" t="s">
        <v>933</v>
      </c>
      <c r="Z20" t="s">
        <v>934</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O23/(O107+O86+O65+O44+O23)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O24/(O108+O87+O66+O45+O24)</f>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O25/(O109+O88+O67+O46+O25)</f>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O26/(O110+O89+O68+O47+O26)</f>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O27/(O111+O90+O69+O48+O27)</f>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O28/(O112+O91+O70+O49+O28)</f>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O32/(O117+O95+O74+O53+O32)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O33/(O118+O96+O75+O54+O33)</f>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O34/(O119+O97+O76+O55+O34)</f>
        <v>0.90988530854600924</v>
      </c>
      <c r="Q34" s="106"/>
      <c r="S34" s="599"/>
      <c r="V34" s="9">
        <f>SUM(Dem!F42:H42)</f>
        <v>1082.7705600000002</v>
      </c>
      <c r="W34" s="106" t="s">
        <v>771</v>
      </c>
    </row>
    <row r="35" spans="1:25" ht="14">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3">G26-G25</f>
        <v>397205.02299999999</v>
      </c>
      <c r="H35" s="610">
        <f t="shared" si="3"/>
        <v>427983.99400000001</v>
      </c>
      <c r="I35" s="610">
        <f t="shared" si="3"/>
        <v>492439.55799999996</v>
      </c>
      <c r="J35" s="610">
        <f t="shared" si="3"/>
        <v>419477.79399999999</v>
      </c>
      <c r="K35" s="610">
        <f t="shared" si="3"/>
        <v>397451.12099999998</v>
      </c>
      <c r="L35" s="610">
        <f t="shared" si="3"/>
        <v>386429.74699999997</v>
      </c>
      <c r="M35" s="610">
        <f t="shared" si="3"/>
        <v>382932.37300000002</v>
      </c>
      <c r="N35" s="610">
        <f t="shared" si="3"/>
        <v>329979.48700000002</v>
      </c>
      <c r="O35" s="610">
        <f>O26-O25</f>
        <v>389598.92200000002</v>
      </c>
      <c r="P35">
        <f>O35/(O120+O98+O77+O56+O35)</f>
        <v>0.84161938715543372</v>
      </c>
      <c r="S35" s="599"/>
      <c r="V35" s="9">
        <f>SUM(Dem!F43:H43)</f>
        <v>997.27555592662316</v>
      </c>
      <c r="W35" s="106" t="s">
        <v>770</v>
      </c>
    </row>
    <row r="36" spans="1:25" ht="14">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4">G24+G32+G25</f>
        <v>683003.81400000001</v>
      </c>
      <c r="H36" s="611">
        <f t="shared" si="4"/>
        <v>758190.85699999996</v>
      </c>
      <c r="I36" s="611">
        <f t="shared" si="4"/>
        <v>809652.326</v>
      </c>
      <c r="J36" s="611">
        <f t="shared" si="4"/>
        <v>644490.60099999991</v>
      </c>
      <c r="K36" s="611">
        <f t="shared" si="4"/>
        <v>701954.63399999996</v>
      </c>
      <c r="L36" s="611">
        <f t="shared" si="4"/>
        <v>790328.46600000001</v>
      </c>
      <c r="M36" s="611">
        <f t="shared" si="4"/>
        <v>752484.09700000007</v>
      </c>
      <c r="N36" s="611">
        <f t="shared" si="4"/>
        <v>776244.75600000005</v>
      </c>
      <c r="O36" s="611">
        <f t="shared" si="4"/>
        <v>771965.62699999998</v>
      </c>
      <c r="P36">
        <f>O36/(O121+O99+O78+O57+O36)</f>
        <v>0.78635479286297427</v>
      </c>
      <c r="S36" s="599"/>
      <c r="V36" s="9">
        <f>SUM(Dem!F44:H44)</f>
        <v>55.789439999999999</v>
      </c>
      <c r="W36" s="106" t="s">
        <v>772</v>
      </c>
    </row>
    <row r="37" spans="1:25" ht="14">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O37/(O122+O100+O79+O58+O37)</f>
        <v>0.79524036709475443</v>
      </c>
      <c r="Q37" s="703">
        <f>O37-O31-O30</f>
        <v>15089.496000000006</v>
      </c>
      <c r="S37" s="599"/>
      <c r="V37" s="106" t="s">
        <v>754</v>
      </c>
    </row>
    <row r="38" spans="1:25" ht="14">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5"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4">
      <c r="A40" s="106" t="s">
        <v>759</v>
      </c>
      <c r="B40" s="363" t="s">
        <v>106</v>
      </c>
      <c r="C40" s="364">
        <f t="shared" ref="C40:E40" si="5">SUM(C23:C39)</f>
        <v>0</v>
      </c>
      <c r="D40" s="364">
        <f t="shared" si="5"/>
        <v>0</v>
      </c>
      <c r="E40" s="364">
        <f t="shared" si="5"/>
        <v>0</v>
      </c>
      <c r="F40" s="609">
        <f>F23+F36+(F26-F25)+F29+F30+F31+F33+F34</f>
        <v>1922146.449</v>
      </c>
      <c r="G40" s="609">
        <f t="shared" ref="G40:O40" si="6">G23+G36+(G26-G25)+G29+G30+G31+G33+G34</f>
        <v>1542806.2639999997</v>
      </c>
      <c r="H40" s="609">
        <f t="shared" si="6"/>
        <v>1675732.662</v>
      </c>
      <c r="I40" s="609">
        <f t="shared" si="6"/>
        <v>1845376.1680000003</v>
      </c>
      <c r="J40" s="609">
        <f t="shared" si="6"/>
        <v>1499584.2459999998</v>
      </c>
      <c r="K40" s="609">
        <f t="shared" si="6"/>
        <v>1555181.845</v>
      </c>
      <c r="L40" s="609">
        <f t="shared" si="6"/>
        <v>1632518.8330000001</v>
      </c>
      <c r="M40" s="609">
        <f t="shared" si="6"/>
        <v>1596295.6290000002</v>
      </c>
      <c r="N40" s="609">
        <f t="shared" si="6"/>
        <v>1547121.8560000001</v>
      </c>
      <c r="O40" s="609">
        <f t="shared" si="6"/>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O44/(O107+O86+O65+O44+O23)</f>
        <v>0</v>
      </c>
      <c r="Q44" s="646"/>
      <c r="R44" s="647"/>
    </row>
    <row r="45" spans="1:25" ht="14">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O45/(O108+O87+O66+O45+O24)</f>
        <v>0.21224997445879179</v>
      </c>
      <c r="Q45" s="646"/>
      <c r="R45" s="647"/>
      <c r="V45" s="518" t="s">
        <v>773</v>
      </c>
      <c r="W45" s="106" t="s">
        <v>774</v>
      </c>
    </row>
    <row r="46" spans="1:25" ht="14">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O46/(O109+O88+O67+O46+O25)</f>
        <v>0.15004574890270914</v>
      </c>
      <c r="Q46" s="646"/>
      <c r="R46" s="647"/>
      <c r="V46" s="475">
        <f>V39</f>
        <v>0.42</v>
      </c>
      <c r="W46" s="106" t="s">
        <v>780</v>
      </c>
      <c r="X46" s="106" t="s">
        <v>116</v>
      </c>
      <c r="Y46" s="106" t="s">
        <v>734</v>
      </c>
    </row>
    <row r="47" spans="1:25" ht="14">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O47/(O110+O89+O68+O47+O26)</f>
        <v>0.14867144669971888</v>
      </c>
      <c r="Q47" s="646"/>
      <c r="R47" s="647"/>
      <c r="V47" s="475">
        <f>V40</f>
        <v>0.31900000000000001</v>
      </c>
      <c r="W47" s="106" t="s">
        <v>780</v>
      </c>
      <c r="X47" s="106" t="s">
        <v>116</v>
      </c>
      <c r="Y47" s="106" t="s">
        <v>735</v>
      </c>
    </row>
    <row r="48" spans="1:25" ht="14">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O48/(O111+O90+O69+O48+O27)</f>
        <v>0</v>
      </c>
      <c r="Q48" s="646"/>
      <c r="R48" s="647"/>
      <c r="V48" s="475">
        <f>V41</f>
        <v>0.247</v>
      </c>
      <c r="W48" s="106" t="s">
        <v>780</v>
      </c>
      <c r="X48" s="106" t="s">
        <v>778</v>
      </c>
      <c r="Y48" s="106" t="s">
        <v>734</v>
      </c>
    </row>
    <row r="49" spans="1:25" ht="14">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O49/(O112+O91+O70+O49+O28)</f>
        <v>0.15004511083231664</v>
      </c>
      <c r="Q49" s="646"/>
      <c r="R49" s="647"/>
      <c r="V49" s="475">
        <f>V42</f>
        <v>1.4E-2</v>
      </c>
      <c r="W49" s="106" t="s">
        <v>780</v>
      </c>
      <c r="X49" s="106" t="s">
        <v>778</v>
      </c>
      <c r="Y49" s="106" t="s">
        <v>735</v>
      </c>
    </row>
    <row r="50" spans="1:25" ht="14">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O50/(O113+O92+O71+O50+O29)</f>
        <v>0.86899999999999999</v>
      </c>
      <c r="Q50" s="648"/>
      <c r="R50" s="647"/>
    </row>
    <row r="51" spans="1:25" ht="14">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O51/(O114+O93+O72+O51+O30)</f>
        <v>9.0000000000000011E-2</v>
      </c>
      <c r="Q51" s="646"/>
      <c r="R51" s="647"/>
    </row>
    <row r="52" spans="1:25" ht="14">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O52/(O115+O94+O73+O52+O31)</f>
        <v>0.13146233312269531</v>
      </c>
      <c r="Q52" s="646"/>
      <c r="R52" s="647"/>
    </row>
    <row r="53" spans="1:25" ht="14">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O53/(O116+O95+O74+O53+O32)</f>
        <v>0.13146234274056443</v>
      </c>
      <c r="Q53" s="646"/>
      <c r="R53" s="647"/>
    </row>
    <row r="54" spans="1:25" ht="14">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O54/(O117+O96+O75+O54+O33)</f>
        <v>0.1137220113079259</v>
      </c>
      <c r="Q54" s="646"/>
      <c r="R54" s="647"/>
    </row>
    <row r="55" spans="1:25" ht="14">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O55/(O118+O97+O76+O55+O34)</f>
        <v>9.0114691453990814E-2</v>
      </c>
      <c r="Q55" s="646"/>
      <c r="R55" s="647"/>
    </row>
    <row r="56" spans="1:25" ht="14">
      <c r="A56" s="106" t="s">
        <v>291</v>
      </c>
      <c r="B56" s="604" t="s">
        <v>890</v>
      </c>
      <c r="C56" s="478">
        <f>IFERROR('Energy balance'!C18*$Q128,0)</f>
        <v>0</v>
      </c>
      <c r="D56" s="478">
        <f>IFERROR('Energy balance'!D18*$Q128,0)</f>
        <v>0</v>
      </c>
      <c r="E56" s="479">
        <f>IFERROR('Energy balance'!E18*$Q128,0)</f>
        <v>0</v>
      </c>
      <c r="F56" s="477">
        <f t="shared" ref="F56:N56" si="7">F47-F46</f>
        <v>61963.106000000007</v>
      </c>
      <c r="G56" s="477">
        <f t="shared" si="7"/>
        <v>81932.52</v>
      </c>
      <c r="H56" s="477">
        <f t="shared" si="7"/>
        <v>81520.760000000009</v>
      </c>
      <c r="I56" s="477">
        <f t="shared" si="7"/>
        <v>60732.544999999998</v>
      </c>
      <c r="J56" s="477">
        <f t="shared" si="7"/>
        <v>66784.186000000002</v>
      </c>
      <c r="K56" s="477">
        <f t="shared" si="7"/>
        <v>59715.341</v>
      </c>
      <c r="L56" s="477">
        <f t="shared" si="7"/>
        <v>56741.998999999996</v>
      </c>
      <c r="M56" s="477">
        <f t="shared" si="7"/>
        <v>62856.336000000003</v>
      </c>
      <c r="N56" s="477">
        <f t="shared" si="7"/>
        <v>58220.644</v>
      </c>
      <c r="O56" s="477">
        <f>O47-O46</f>
        <v>68777.078000000009</v>
      </c>
      <c r="P56">
        <f>O56/(O119+O98+O77+O56+O35)</f>
        <v>0.14857362012080072</v>
      </c>
      <c r="Q56" s="649"/>
      <c r="R56" s="647"/>
    </row>
    <row r="57" spans="1:25" ht="14">
      <c r="A57" s="106" t="s">
        <v>291</v>
      </c>
      <c r="B57" s="604" t="s">
        <v>960</v>
      </c>
      <c r="C57" s="478">
        <f>IFERROR('Energy balance'!C19*$Q129,0)</f>
        <v>0</v>
      </c>
      <c r="D57" s="478">
        <f>IFERROR('Energy balance'!D19*$Q129,0)</f>
        <v>0</v>
      </c>
      <c r="E57" s="478">
        <f>IFERROR('Energy balance'!E19*$Q129,0)</f>
        <v>0</v>
      </c>
      <c r="F57" s="477">
        <f>F45+F53+F46</f>
        <v>162062.09600000002</v>
      </c>
      <c r="G57" s="477">
        <f t="shared" ref="G57:O57" si="8">G45+G53+G46</f>
        <v>180917.43700000001</v>
      </c>
      <c r="H57" s="477">
        <f t="shared" si="8"/>
        <v>182039.56600000002</v>
      </c>
      <c r="I57" s="477">
        <f t="shared" si="8"/>
        <v>174261.065</v>
      </c>
      <c r="J57" s="477">
        <f t="shared" si="8"/>
        <v>158843.81599999999</v>
      </c>
      <c r="K57" s="477">
        <f t="shared" si="8"/>
        <v>157531.97200000001</v>
      </c>
      <c r="L57" s="477">
        <f t="shared" si="8"/>
        <v>175436.12000000002</v>
      </c>
      <c r="M57" s="477">
        <f t="shared" si="8"/>
        <v>185019.845</v>
      </c>
      <c r="N57" s="477">
        <f t="shared" si="8"/>
        <v>200132.019</v>
      </c>
      <c r="O57" s="477">
        <f t="shared" si="8"/>
        <v>205365.989</v>
      </c>
      <c r="P57">
        <f>O57/(O120+O99+O78+O57+O36)</f>
        <v>0.20919393829590144</v>
      </c>
      <c r="Q57" s="649"/>
      <c r="R57" s="647"/>
    </row>
    <row r="58" spans="1:25" ht="14">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O58/(O121+O100+O79+O58+O37)</f>
        <v>0.18503117450778489</v>
      </c>
      <c r="Q58" s="646"/>
      <c r="R58" s="647"/>
    </row>
    <row r="59" spans="1:25" ht="14">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4">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4">
      <c r="A61" s="106" t="s">
        <v>291</v>
      </c>
      <c r="B61" s="363" t="s">
        <v>106</v>
      </c>
      <c r="C61" s="364">
        <f>SUM(C44:C60)</f>
        <v>0</v>
      </c>
      <c r="D61" s="364">
        <f>SUM(D44:D60)</f>
        <v>0</v>
      </c>
      <c r="E61" s="364">
        <f>SUM(E44:E60)</f>
        <v>0</v>
      </c>
      <c r="F61" s="609">
        <f>F44+F57+(F47-F46)+F50+F51+F52+F54+F55</f>
        <v>336133.81300000002</v>
      </c>
      <c r="G61" s="609">
        <f t="shared" ref="G61:O61" si="9">G44+G57+(G47-G46)+G50+G51+G52+G54+G55</f>
        <v>396728.92500000005</v>
      </c>
      <c r="H61" s="609">
        <f t="shared" si="9"/>
        <v>391729.13899999997</v>
      </c>
      <c r="I61" s="609">
        <f t="shared" si="9"/>
        <v>363750.56799999997</v>
      </c>
      <c r="J61" s="609">
        <f t="shared" si="9"/>
        <v>354758.58799999999</v>
      </c>
      <c r="K61" s="609">
        <f t="shared" si="9"/>
        <v>347140.51900000009</v>
      </c>
      <c r="L61" s="609">
        <f t="shared" si="9"/>
        <v>357675.54800000001</v>
      </c>
      <c r="M61" s="609">
        <f t="shared" si="9"/>
        <v>377302.94199999998</v>
      </c>
      <c r="N61" s="609">
        <f t="shared" si="9"/>
        <v>394392.96100000001</v>
      </c>
      <c r="O61" s="609">
        <f t="shared" si="9"/>
        <v>403008.38</v>
      </c>
    </row>
    <row r="63" spans="1:25" ht="16" thickBot="1">
      <c r="B63" s="357" t="s">
        <v>279</v>
      </c>
    </row>
    <row r="64" spans="1:25" ht="14.5"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4">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O65/(O107+O86+O65+O44+O23)</f>
        <v>0</v>
      </c>
      <c r="Q65" s="646"/>
    </row>
    <row r="66" spans="1:17" ht="14">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O66/(O108+O87+O66+O45+O24)</f>
        <v>4.6636959628790454E-3</v>
      </c>
      <c r="Q66" s="646"/>
    </row>
    <row r="67" spans="1:17" ht="14">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O67/(O109+O88+O67+O46+O25)</f>
        <v>0</v>
      </c>
      <c r="Q67" s="646"/>
    </row>
    <row r="68" spans="1:17" ht="14">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O68/(O110+O89+O68+O47+O26)</f>
        <v>0</v>
      </c>
      <c r="Q68" s="646"/>
    </row>
    <row r="69" spans="1:17" ht="14">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O69/(O111+O90+O69+O48+O27)</f>
        <v>0</v>
      </c>
      <c r="Q69" s="646"/>
    </row>
    <row r="70" spans="1:17" ht="14">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O70/(O112+O91+O70+O49+O28)</f>
        <v>0</v>
      </c>
      <c r="Q70" s="646"/>
    </row>
    <row r="71" spans="1:17" ht="14">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O71/(O113+O92+O71+O50+O29)</f>
        <v>0</v>
      </c>
      <c r="Q71" s="648"/>
    </row>
    <row r="72" spans="1:17" ht="14">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O72/(O114+O93+O72+O51+O30)</f>
        <v>0</v>
      </c>
      <c r="Q72" s="646"/>
    </row>
    <row r="73" spans="1:17" ht="14">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O73/(O115+O94+O73+O52+O31)</f>
        <v>0</v>
      </c>
      <c r="Q73" s="646"/>
    </row>
    <row r="74" spans="1:17" ht="14">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O74/(O116+O95+O74+O53+O32)</f>
        <v>0</v>
      </c>
      <c r="Q74" s="646"/>
    </row>
    <row r="75" spans="1:17" ht="14">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O75/(O117+O96+O75+O54+O33)</f>
        <v>0.305697181233551</v>
      </c>
      <c r="Q75" s="646"/>
    </row>
    <row r="76" spans="1:17" ht="14">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O76/(O118+O97+O76+O55+O34)</f>
        <v>0</v>
      </c>
      <c r="Q76" s="646"/>
    </row>
    <row r="77" spans="1:17" ht="14">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O77/(O119+O98+O77+O56+O35)</f>
        <v>0</v>
      </c>
      <c r="Q77" s="649"/>
    </row>
    <row r="78" spans="1:17" ht="14">
      <c r="A78" s="106" t="s">
        <v>284</v>
      </c>
      <c r="B78" s="604" t="s">
        <v>960</v>
      </c>
      <c r="C78" s="478">
        <f>IFERROR('Energy balance'!C19*#REF!,0)</f>
        <v>0</v>
      </c>
      <c r="D78" s="478">
        <f>IFERROR('Energy balance'!D19*#REF!,0)</f>
        <v>0</v>
      </c>
      <c r="E78" s="478">
        <f>IFERROR('Energy balance'!E19*#REF!,0)</f>
        <v>0</v>
      </c>
      <c r="F78" s="477">
        <f>F66+F74+F67</f>
        <v>2438.7130000000002</v>
      </c>
      <c r="G78" s="477">
        <f t="shared" ref="G78:O78" si="10">G66+G74+G67</f>
        <v>3308.9079999999999</v>
      </c>
      <c r="H78" s="477">
        <f t="shared" si="10"/>
        <v>3620.538</v>
      </c>
      <c r="I78" s="477">
        <f t="shared" si="10"/>
        <v>4072.0819999999999</v>
      </c>
      <c r="J78" s="477">
        <f t="shared" si="10"/>
        <v>3644.1320000000001</v>
      </c>
      <c r="K78" s="477">
        <f t="shared" si="10"/>
        <v>3644.4560000000001</v>
      </c>
      <c r="L78" s="477">
        <f t="shared" si="10"/>
        <v>3421.4560000000001</v>
      </c>
      <c r="M78" s="477">
        <f t="shared" si="10"/>
        <v>3617.0970000000002</v>
      </c>
      <c r="N78" s="477">
        <f t="shared" si="10"/>
        <v>3891.1350000000002</v>
      </c>
      <c r="O78" s="477">
        <f t="shared" si="10"/>
        <v>4369.817</v>
      </c>
      <c r="P78">
        <f>O78/(O120+O99+O78+O57+O36)</f>
        <v>4.451268841124326E-3</v>
      </c>
      <c r="Q78" s="649"/>
    </row>
    <row r="79" spans="1:17" ht="14">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O79/(O121+O100+O79+O58+O37)</f>
        <v>1.9728458397460666E-2</v>
      </c>
      <c r="Q79" s="646"/>
    </row>
    <row r="80" spans="1:17" ht="14">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4">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4">
      <c r="B82" s="363" t="s">
        <v>106</v>
      </c>
      <c r="C82" s="364">
        <f>SUM(C65:C81)</f>
        <v>0</v>
      </c>
      <c r="D82" s="364">
        <f>SUM(D65:D81)</f>
        <v>0</v>
      </c>
      <c r="E82" s="364">
        <f>SUM(E65:E81)</f>
        <v>0</v>
      </c>
      <c r="F82" s="609">
        <f>F65+F78+(F68-F67)+F71+F72+F73+F75+F76</f>
        <v>142721.71299999999</v>
      </c>
      <c r="G82" s="609">
        <f t="shared" ref="G82:O82" si="11">G65+G78+(G68-G67)+G71+G72+G73+G75+G76</f>
        <v>142476.98799999998</v>
      </c>
      <c r="H82" s="609">
        <f t="shared" si="11"/>
        <v>144182.538</v>
      </c>
      <c r="I82" s="609">
        <f t="shared" si="11"/>
        <v>142501.647</v>
      </c>
      <c r="J82" s="609">
        <f t="shared" si="11"/>
        <v>138367.82500000001</v>
      </c>
      <c r="K82" s="609">
        <f t="shared" si="11"/>
        <v>137470.19</v>
      </c>
      <c r="L82" s="609">
        <f t="shared" si="11"/>
        <v>141783.723</v>
      </c>
      <c r="M82" s="609">
        <f t="shared" si="11"/>
        <v>142073.122</v>
      </c>
      <c r="N82" s="609">
        <f t="shared" si="11"/>
        <v>143277.69900000002</v>
      </c>
      <c r="O82" s="609">
        <f t="shared" si="11"/>
        <v>145455.18100000001</v>
      </c>
    </row>
    <row r="84" spans="1:17" ht="16" thickBot="1">
      <c r="B84" s="357" t="s">
        <v>889</v>
      </c>
    </row>
    <row r="85" spans="1:17" ht="14.5"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4">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O86/(O107+O86+O65+O44+O23)</f>
        <v>0</v>
      </c>
    </row>
    <row r="87" spans="1:17" ht="14">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O87/(O108+O87+O66+O45+O24)</f>
        <v>0</v>
      </c>
    </row>
    <row r="88" spans="1:17" ht="14">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O88/(O109+O88+O67+O46+O25)</f>
        <v>0</v>
      </c>
    </row>
    <row r="89" spans="1:17" ht="14">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O89/(O110+O89+O68+O47+O26)</f>
        <v>9.1552939325786151E-3</v>
      </c>
    </row>
    <row r="90" spans="1:17" ht="14">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O90/(O111+O90+O69+O48+O27)</f>
        <v>1</v>
      </c>
    </row>
    <row r="91" spans="1:17" ht="14">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O91/(O112+O91+O70+O49+O28)</f>
        <v>0</v>
      </c>
      <c r="Q91" s="106"/>
    </row>
    <row r="92" spans="1:17" ht="14">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O92/(O113+O92+O71+O50+O29)</f>
        <v>0</v>
      </c>
      <c r="Q92" s="106"/>
    </row>
    <row r="93" spans="1:17" ht="14">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O93/(O114+O93+O72+O51+O30)</f>
        <v>0</v>
      </c>
      <c r="Q93" s="106"/>
    </row>
    <row r="94" spans="1:17" ht="14">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O94/(O115+O94+O73+O52+O31)</f>
        <v>0</v>
      </c>
      <c r="Q94" s="106"/>
    </row>
    <row r="95" spans="1:17" ht="14">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O95/(O116+O95+O74+O53+O32)</f>
        <v>0</v>
      </c>
      <c r="Q95" s="106"/>
    </row>
    <row r="96" spans="1:17" ht="14">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O96/(O117+O96+O75+O54+O33)</f>
        <v>0.51163821820307964</v>
      </c>
      <c r="Q96" s="106"/>
    </row>
    <row r="97" spans="1:17" ht="14">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O97/(O118+O97+O76+O55+O34)</f>
        <v>0</v>
      </c>
      <c r="Q97" s="106"/>
    </row>
    <row r="98" spans="1:17" ht="14">
      <c r="A98" s="106" t="s">
        <v>292</v>
      </c>
      <c r="B98" s="604" t="s">
        <v>890</v>
      </c>
      <c r="C98" s="478">
        <f>IFERROR('Energy balance'!C18*$Q98,0)</f>
        <v>0</v>
      </c>
      <c r="D98" s="478">
        <f>IFERROR('Energy balance'!D18*$Q98,0)</f>
        <v>0</v>
      </c>
      <c r="E98" s="479">
        <f>IFERROR('Energy balance'!E18*$Q98,0)</f>
        <v>0</v>
      </c>
      <c r="F98" s="479">
        <f>F89-F88</f>
        <v>4556.4889999999996</v>
      </c>
      <c r="G98" s="479">
        <f t="shared" ref="G98:N98" si="12">G89-G88</f>
        <v>4515.51</v>
      </c>
      <c r="H98" s="479">
        <f t="shared" si="12"/>
        <v>4426.3450000000003</v>
      </c>
      <c r="I98" s="479">
        <f t="shared" si="12"/>
        <v>4427.9210000000003</v>
      </c>
      <c r="J98" s="479">
        <f t="shared" si="12"/>
        <v>4481.7510000000002</v>
      </c>
      <c r="K98" s="479">
        <f t="shared" si="12"/>
        <v>4383.0020000000004</v>
      </c>
      <c r="L98" s="479">
        <f t="shared" si="12"/>
        <v>4540.9650000000001</v>
      </c>
      <c r="M98" s="479">
        <f t="shared" si="12"/>
        <v>4282.3990000000003</v>
      </c>
      <c r="N98" s="479">
        <f t="shared" si="12"/>
        <v>4583.0569999999998</v>
      </c>
      <c r="O98" s="479">
        <f>O89-O88</f>
        <v>4539.8119999999999</v>
      </c>
      <c r="P98">
        <f>O98/(O119+O98+O77+O56+O35)</f>
        <v>9.8069927237655029E-3</v>
      </c>
      <c r="Q98" s="106"/>
    </row>
    <row r="99" spans="1:17" ht="14">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O99/(O120+O99+O78+O57+O36)</f>
        <v>0</v>
      </c>
      <c r="Q99" s="106"/>
    </row>
    <row r="100" spans="1:17" ht="14">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O100/(O121+O100+O79+O58+O37)</f>
        <v>0</v>
      </c>
      <c r="Q100" s="106"/>
    </row>
    <row r="101" spans="1:17" ht="14">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4">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4">
      <c r="A103" s="106" t="s">
        <v>292</v>
      </c>
      <c r="B103" s="363" t="s">
        <v>106</v>
      </c>
      <c r="C103" s="364">
        <f>SUM(C86:C102)</f>
        <v>0</v>
      </c>
      <c r="D103" s="364">
        <f>SUM(D86:D102)</f>
        <v>0</v>
      </c>
      <c r="E103" s="364">
        <f>SUM(E86:E102)</f>
        <v>0</v>
      </c>
      <c r="F103" s="609">
        <f>F86+F99+(F89-F88)+F92+F93+F94+F96+F97</f>
        <v>258206.617</v>
      </c>
      <c r="G103" s="609">
        <f t="shared" ref="G103:O103" si="13">G86+G99+(G89-G88)+G92+G93+G94+G96+G97</f>
        <v>250019.90400000001</v>
      </c>
      <c r="H103" s="609">
        <f t="shared" si="13"/>
        <v>252622.43700000001</v>
      </c>
      <c r="I103" s="609">
        <f t="shared" si="13"/>
        <v>251351.53599999999</v>
      </c>
      <c r="J103" s="609">
        <f t="shared" si="13"/>
        <v>244701.201</v>
      </c>
      <c r="K103" s="609">
        <f t="shared" si="13"/>
        <v>242893.58199999999</v>
      </c>
      <c r="L103" s="609">
        <f t="shared" si="13"/>
        <v>237264.77900000001</v>
      </c>
      <c r="M103" s="609">
        <f t="shared" si="13"/>
        <v>237349.96</v>
      </c>
      <c r="N103" s="609">
        <f t="shared" si="13"/>
        <v>239401.89800000002</v>
      </c>
      <c r="O103" s="609">
        <f t="shared" si="13"/>
        <v>240671.084</v>
      </c>
    </row>
    <row r="105" spans="1:17" ht="16" thickBot="1">
      <c r="B105" s="357" t="s">
        <v>295</v>
      </c>
    </row>
    <row r="106" spans="1:17" ht="14.5"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4">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O107/(O107+O86+O65+O44+O23)</f>
        <v>0</v>
      </c>
      <c r="Q107" s="106"/>
    </row>
    <row r="108" spans="1:17" ht="14">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O108/(O108+O87+O66+O45+O24)</f>
        <v>0</v>
      </c>
      <c r="Q108" s="106"/>
    </row>
    <row r="109" spans="1:17" ht="14">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O109/(O109+O88+O67+O46+O25)</f>
        <v>0</v>
      </c>
      <c r="Q109" s="106"/>
    </row>
    <row r="110" spans="1:17" ht="14">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O110/(O110+O89+O68+O47+O26)</f>
        <v>0</v>
      </c>
      <c r="Q110" s="106"/>
    </row>
    <row r="111" spans="1:17" ht="14">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O111/(O111+O90+O69+O48+O27)</f>
        <v>0</v>
      </c>
      <c r="Q111" s="106"/>
    </row>
    <row r="112" spans="1:17" ht="14">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O112/(O112+O91+O70+O49+O28)</f>
        <v>0</v>
      </c>
      <c r="Q112" s="106"/>
    </row>
    <row r="113" spans="1:17" ht="14">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O113/(O113+O92+O71+O50+O29)</f>
        <v>0</v>
      </c>
      <c r="Q113" s="106"/>
    </row>
    <row r="114" spans="1:17" ht="14">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O114/(O114+O93+O72+O51+O30)</f>
        <v>0</v>
      </c>
      <c r="Q114" s="106"/>
    </row>
    <row r="115" spans="1:17" ht="14">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O115/(O115+O94+O73+O52+O31)</f>
        <v>0</v>
      </c>
      <c r="Q115" s="106"/>
    </row>
    <row r="116" spans="1:17" ht="14">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O116/(O116+O95+O74+O53+O32)</f>
        <v>0</v>
      </c>
      <c r="Q116" s="106"/>
    </row>
    <row r="117" spans="1:17" ht="14">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O117/(O117+O96+O75+O54+O33)</f>
        <v>9.9756152931035572E-3</v>
      </c>
      <c r="Q117" s="106"/>
    </row>
    <row r="118" spans="1:17" ht="14">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O118/(O118+O97+O76+O55+O34)</f>
        <v>0</v>
      </c>
      <c r="Q118" s="361"/>
    </row>
    <row r="119" spans="1:17" ht="14">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O119/(O119+O98+O77+O56+O35)</f>
        <v>0</v>
      </c>
      <c r="Q119" s="106"/>
    </row>
    <row r="120" spans="1:17" ht="14">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O120/(O120+O99+O78+O57+O36)</f>
        <v>0</v>
      </c>
      <c r="Q120" s="106"/>
    </row>
    <row r="121" spans="1:17" ht="14">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O121/(O121+O100+O79+O58+O37)</f>
        <v>0</v>
      </c>
      <c r="Q121" s="106"/>
    </row>
    <row r="122" spans="1:17" ht="14">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4">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5"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4">
      <c r="A125" s="106" t="s">
        <v>293</v>
      </c>
      <c r="B125" s="363" t="s">
        <v>106</v>
      </c>
      <c r="C125" s="364">
        <f>SUM(C107:C124)</f>
        <v>0</v>
      </c>
      <c r="D125" s="364">
        <f t="shared" ref="D125" si="14">SUM(D107:D124)</f>
        <v>0</v>
      </c>
      <c r="E125" s="364">
        <f t="shared" ref="E125" si="15">SUM(E107:E124)</f>
        <v>0</v>
      </c>
      <c r="F125" s="364">
        <f t="shared" ref="F125" si="16">SUM(F107:F124)</f>
        <v>4470.5919999999996</v>
      </c>
      <c r="G125" s="364">
        <f t="shared" ref="G125" si="17">SUM(G107:G124)</f>
        <v>4309.6859999999997</v>
      </c>
      <c r="H125" s="364">
        <f t="shared" ref="H125" si="18">SUM(H107:H124)</f>
        <v>4322.308</v>
      </c>
      <c r="I125" s="364">
        <f t="shared" ref="I125" si="19">SUM(I107:I124)</f>
        <v>4290.7569999999996</v>
      </c>
      <c r="J125" s="364">
        <f t="shared" ref="J125" si="20">SUM(J107:J124)</f>
        <v>4176.9250000000002</v>
      </c>
      <c r="K125" s="364">
        <f t="shared" ref="K125" si="21">SUM(K107:K124)</f>
        <v>4149.1220000000003</v>
      </c>
      <c r="L125" s="364">
        <f t="shared" ref="L125" si="22">SUM(L107:L124)</f>
        <v>4449.33</v>
      </c>
      <c r="M125" s="364">
        <f t="shared" ref="M125" si="23">SUM(M107:M124)</f>
        <v>4615.2</v>
      </c>
      <c r="N125" s="364">
        <f t="shared" ref="N125:O125" si="24">SUM(N107:N124)</f>
        <v>4454.8270000000002</v>
      </c>
      <c r="O125" s="364">
        <f t="shared" si="24"/>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BJ11" activePane="bottomRight" state="frozen"/>
      <selection pane="topRight"/>
      <selection pane="bottomLeft"/>
      <selection pane="bottomRight" activeCell="BO11" sqref="BO11"/>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0" t="s">
        <v>879</v>
      </c>
      <c r="B8" s="660" t="s">
        <v>879</v>
      </c>
      <c r="C8" s="659" t="s">
        <v>878</v>
      </c>
      <c r="D8" s="659" t="s">
        <v>878</v>
      </c>
      <c r="E8" s="659" t="s">
        <v>878</v>
      </c>
      <c r="F8" s="659" t="s">
        <v>878</v>
      </c>
      <c r="G8" s="659" t="s">
        <v>878</v>
      </c>
      <c r="H8" s="659" t="s">
        <v>878</v>
      </c>
      <c r="I8" s="659" t="s">
        <v>878</v>
      </c>
      <c r="J8" s="659" t="s">
        <v>877</v>
      </c>
      <c r="K8" s="659" t="s">
        <v>877</v>
      </c>
      <c r="L8" s="659" t="s">
        <v>877</v>
      </c>
      <c r="M8" s="659" t="s">
        <v>877</v>
      </c>
      <c r="N8" s="659" t="s">
        <v>877</v>
      </c>
      <c r="O8" s="659" t="s">
        <v>877</v>
      </c>
      <c r="P8" s="659" t="s">
        <v>877</v>
      </c>
      <c r="Q8" s="659" t="s">
        <v>876</v>
      </c>
      <c r="R8" s="659" t="s">
        <v>876</v>
      </c>
      <c r="S8" s="659" t="s">
        <v>876</v>
      </c>
      <c r="T8" s="659" t="s">
        <v>876</v>
      </c>
      <c r="U8" s="659" t="s">
        <v>876</v>
      </c>
      <c r="V8" s="659" t="s">
        <v>876</v>
      </c>
      <c r="W8" s="659" t="s">
        <v>876</v>
      </c>
      <c r="X8" s="659" t="s">
        <v>875</v>
      </c>
      <c r="Y8" s="659" t="s">
        <v>875</v>
      </c>
      <c r="Z8" s="659" t="s">
        <v>875</v>
      </c>
      <c r="AA8" s="659" t="s">
        <v>875</v>
      </c>
      <c r="AB8" s="659" t="s">
        <v>875</v>
      </c>
      <c r="AC8" s="659" t="s">
        <v>875</v>
      </c>
      <c r="AD8" s="659" t="s">
        <v>875</v>
      </c>
      <c r="AE8" s="659" t="s">
        <v>874</v>
      </c>
      <c r="AF8" s="659" t="s">
        <v>874</v>
      </c>
      <c r="AG8" s="659" t="s">
        <v>874</v>
      </c>
      <c r="AH8" s="659" t="s">
        <v>874</v>
      </c>
      <c r="AI8" s="659" t="s">
        <v>874</v>
      </c>
      <c r="AJ8" s="659" t="s">
        <v>874</v>
      </c>
      <c r="AK8" s="659" t="s">
        <v>874</v>
      </c>
      <c r="AL8" s="659" t="s">
        <v>873</v>
      </c>
      <c r="AM8" s="659" t="s">
        <v>873</v>
      </c>
      <c r="AN8" s="659" t="s">
        <v>873</v>
      </c>
      <c r="AO8" s="659" t="s">
        <v>873</v>
      </c>
      <c r="AP8" s="659" t="s">
        <v>873</v>
      </c>
      <c r="AQ8" s="659" t="s">
        <v>873</v>
      </c>
      <c r="AR8" s="659" t="s">
        <v>873</v>
      </c>
      <c r="AS8" s="659" t="s">
        <v>872</v>
      </c>
      <c r="AT8" s="659" t="s">
        <v>872</v>
      </c>
      <c r="AU8" s="659" t="s">
        <v>872</v>
      </c>
      <c r="AV8" s="659" t="s">
        <v>872</v>
      </c>
      <c r="AW8" s="659" t="s">
        <v>872</v>
      </c>
      <c r="AX8" s="659" t="s">
        <v>872</v>
      </c>
      <c r="AY8" s="659" t="s">
        <v>872</v>
      </c>
      <c r="AZ8" s="659" t="s">
        <v>871</v>
      </c>
      <c r="BA8" s="659" t="s">
        <v>871</v>
      </c>
      <c r="BB8" s="659" t="s">
        <v>871</v>
      </c>
      <c r="BC8" s="659" t="s">
        <v>871</v>
      </c>
      <c r="BD8" s="659" t="s">
        <v>871</v>
      </c>
      <c r="BE8" s="659" t="s">
        <v>871</v>
      </c>
      <c r="BF8" s="659" t="s">
        <v>871</v>
      </c>
      <c r="BG8" s="659" t="s">
        <v>870</v>
      </c>
      <c r="BH8" s="659" t="s">
        <v>870</v>
      </c>
      <c r="BI8" s="659" t="s">
        <v>870</v>
      </c>
      <c r="BJ8" s="659" t="s">
        <v>870</v>
      </c>
      <c r="BK8" s="659" t="s">
        <v>870</v>
      </c>
      <c r="BL8" s="659" t="s">
        <v>870</v>
      </c>
      <c r="BM8" s="659" t="s">
        <v>870</v>
      </c>
      <c r="BN8" s="659" t="s">
        <v>869</v>
      </c>
      <c r="BO8" s="659" t="s">
        <v>869</v>
      </c>
      <c r="BP8" s="659" t="s">
        <v>869</v>
      </c>
      <c r="BQ8" s="659" t="s">
        <v>869</v>
      </c>
      <c r="BR8" s="659" t="s">
        <v>869</v>
      </c>
      <c r="BS8" s="659" t="s">
        <v>869</v>
      </c>
      <c r="BT8" s="659" t="s">
        <v>869</v>
      </c>
    </row>
    <row r="9" spans="1:72">
      <c r="A9" s="660" t="s">
        <v>868</v>
      </c>
      <c r="B9" s="660"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73" t="s">
        <v>224</v>
      </c>
    </row>
    <row r="6" spans="2:22" ht="28.75" customHeight="1">
      <c r="B6" s="331" t="s">
        <v>223</v>
      </c>
      <c r="C6" s="331" t="s">
        <v>229</v>
      </c>
      <c r="D6" s="333">
        <v>0.7</v>
      </c>
      <c r="E6" s="673"/>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80" t="s">
        <v>242</v>
      </c>
      <c r="C38" s="680"/>
      <c r="D38" s="680"/>
      <c r="E38" s="680"/>
      <c r="F38" s="300"/>
      <c r="G38" s="300"/>
      <c r="H38" s="300"/>
    </row>
    <row r="39" spans="2:8" ht="14.5" thickBot="1">
      <c r="B39" s="337"/>
      <c r="C39" s="337"/>
      <c r="D39" s="337"/>
      <c r="E39" s="337"/>
      <c r="F39" s="300"/>
      <c r="G39" s="300"/>
      <c r="H39" s="300"/>
    </row>
    <row r="40" spans="2:8" ht="14">
      <c r="B40" s="678"/>
      <c r="C40" s="681" t="s">
        <v>243</v>
      </c>
      <c r="D40" s="668" t="s">
        <v>244</v>
      </c>
      <c r="E40" s="669"/>
      <c r="F40" s="300"/>
      <c r="G40" s="300"/>
      <c r="H40" s="300"/>
    </row>
    <row r="41" spans="2:8" ht="14.5" thickBot="1">
      <c r="B41" s="679"/>
      <c r="C41" s="682"/>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70" t="s">
        <v>249</v>
      </c>
      <c r="C44" s="671"/>
      <c r="D44" s="671"/>
      <c r="E44" s="672"/>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70" t="s">
        <v>254</v>
      </c>
      <c r="C50" s="671"/>
      <c r="D50" s="671"/>
      <c r="E50" s="672"/>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75" t="s">
        <v>255</v>
      </c>
      <c r="C56" s="676"/>
      <c r="D56" s="676"/>
      <c r="E56" s="677"/>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5" t="s">
        <v>261</v>
      </c>
      <c r="C63" s="676"/>
      <c r="D63" s="676"/>
      <c r="E63" s="677"/>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5" t="s">
        <v>267</v>
      </c>
      <c r="C70" s="676"/>
      <c r="D70" s="676"/>
      <c r="E70" s="677"/>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74" t="s">
        <v>298</v>
      </c>
      <c r="C129" s="674"/>
      <c r="D129" s="674"/>
      <c r="E129" s="674"/>
      <c r="F129" s="674"/>
      <c r="G129" s="674"/>
      <c r="H129" s="674"/>
      <c r="I129" s="674"/>
      <c r="J129" s="674"/>
      <c r="K129" s="674"/>
    </row>
    <row r="130" spans="1:11" ht="15.5">
      <c r="B130" s="661" t="s">
        <v>299</v>
      </c>
      <c r="C130" s="661"/>
      <c r="D130" s="661"/>
      <c r="E130" s="661"/>
      <c r="F130" s="661"/>
      <c r="G130" s="661"/>
      <c r="H130" s="661"/>
      <c r="I130" s="661"/>
      <c r="J130" s="661"/>
      <c r="K130" s="661"/>
    </row>
    <row r="131" spans="1:11" ht="16" thickBot="1">
      <c r="B131" s="365"/>
      <c r="C131" s="366"/>
      <c r="D131" s="366"/>
      <c r="E131" s="366"/>
      <c r="F131" s="366"/>
      <c r="G131" s="366"/>
      <c r="H131" s="366"/>
      <c r="I131" s="366"/>
      <c r="J131" s="366"/>
      <c r="K131" s="366"/>
    </row>
    <row r="132" spans="1:11" ht="15.5">
      <c r="B132" s="662" t="s">
        <v>300</v>
      </c>
      <c r="C132" s="664" t="s">
        <v>106</v>
      </c>
      <c r="D132" s="666" t="s">
        <v>301</v>
      </c>
      <c r="E132" s="666"/>
      <c r="F132" s="664" t="s">
        <v>302</v>
      </c>
      <c r="G132" s="666" t="s">
        <v>301</v>
      </c>
      <c r="H132" s="666"/>
      <c r="I132" s="664" t="s">
        <v>303</v>
      </c>
      <c r="J132" s="666" t="s">
        <v>301</v>
      </c>
      <c r="K132" s="667"/>
    </row>
    <row r="133" spans="1:11" ht="15.5" thickBot="1">
      <c r="B133" s="663"/>
      <c r="C133" s="665"/>
      <c r="D133" s="367" t="s">
        <v>304</v>
      </c>
      <c r="E133" s="367" t="s">
        <v>305</v>
      </c>
      <c r="F133" s="665"/>
      <c r="G133" s="367" t="s">
        <v>304</v>
      </c>
      <c r="H133" s="367" t="s">
        <v>305</v>
      </c>
      <c r="I133" s="665"/>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3" t="s">
        <v>203</v>
      </c>
      <c r="C2" s="683"/>
      <c r="D2" s="683"/>
      <c r="E2" s="683"/>
      <c r="F2" s="683"/>
      <c r="G2" s="683"/>
      <c r="H2" s="683"/>
      <c r="I2" s="683"/>
      <c r="J2" s="683"/>
      <c r="K2" s="683"/>
      <c r="L2" s="683"/>
      <c r="M2" s="683"/>
      <c r="N2" s="683"/>
    </row>
    <row r="3" spans="2:15" ht="14.5" thickBot="1">
      <c r="B3" s="684" t="s">
        <v>204</v>
      </c>
      <c r="C3" s="684"/>
      <c r="D3" s="684"/>
      <c r="E3" s="684"/>
      <c r="F3" s="684"/>
      <c r="G3" s="684"/>
      <c r="H3" s="684"/>
      <c r="I3" s="684"/>
      <c r="J3" s="684"/>
      <c r="K3" s="684"/>
      <c r="L3" s="684"/>
      <c r="M3" s="684"/>
      <c r="N3" s="68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5" t="s">
        <v>137</v>
      </c>
      <c r="D3" s="686"/>
      <c r="E3" s="687"/>
      <c r="H3" s="171"/>
      <c r="I3" s="171"/>
      <c r="J3" s="171"/>
      <c r="K3" s="171"/>
    </row>
    <row r="4" spans="1:20" ht="16" customHeight="1" thickBot="1">
      <c r="A4" s="688" t="s">
        <v>906</v>
      </c>
      <c r="B4" s="116" t="s">
        <v>49</v>
      </c>
      <c r="C4" s="122" t="s">
        <v>178</v>
      </c>
      <c r="D4" s="117" t="s">
        <v>179</v>
      </c>
      <c r="E4" s="118" t="s">
        <v>51</v>
      </c>
      <c r="H4" s="171"/>
      <c r="I4" s="172">
        <v>2010</v>
      </c>
      <c r="J4" s="171"/>
      <c r="K4" s="171"/>
    </row>
    <row r="5" spans="1:20" ht="16" customHeight="1">
      <c r="A5" s="689"/>
      <c r="B5" s="110" t="s">
        <v>273</v>
      </c>
      <c r="C5" s="123" t="s">
        <v>178</v>
      </c>
      <c r="D5" s="111" t="s">
        <v>179</v>
      </c>
      <c r="E5" s="112" t="s">
        <v>51</v>
      </c>
      <c r="H5" s="173"/>
      <c r="I5" s="174" t="s">
        <v>169</v>
      </c>
      <c r="J5" s="175"/>
      <c r="K5" s="176"/>
    </row>
    <row r="6" spans="1:20" ht="16" customHeight="1">
      <c r="A6" s="689"/>
      <c r="B6" s="110" t="s">
        <v>275</v>
      </c>
      <c r="C6" s="123" t="s">
        <v>178</v>
      </c>
      <c r="D6" s="111" t="s">
        <v>179</v>
      </c>
      <c r="E6" s="112" t="s">
        <v>51</v>
      </c>
      <c r="H6" s="177" t="s">
        <v>167</v>
      </c>
      <c r="I6" s="178" t="e">
        <f>#REF!</f>
        <v>#REF!</v>
      </c>
      <c r="J6" s="179" t="s">
        <v>170</v>
      </c>
      <c r="K6" s="692" t="s">
        <v>116</v>
      </c>
    </row>
    <row r="7" spans="1:20" ht="16" customHeight="1">
      <c r="A7" s="689"/>
      <c r="B7" s="110" t="s">
        <v>50</v>
      </c>
      <c r="C7" s="123" t="s">
        <v>178</v>
      </c>
      <c r="D7" s="111" t="s">
        <v>179</v>
      </c>
      <c r="E7" s="112" t="s">
        <v>51</v>
      </c>
      <c r="H7" s="177" t="s">
        <v>171</v>
      </c>
      <c r="I7" s="178" t="e">
        <f>#REF!</f>
        <v>#REF!</v>
      </c>
      <c r="J7" s="179" t="s">
        <v>172</v>
      </c>
      <c r="K7" s="693"/>
    </row>
    <row r="8" spans="1:20" ht="16" customHeight="1">
      <c r="A8" s="689"/>
      <c r="B8" s="110" t="s">
        <v>274</v>
      </c>
      <c r="C8" s="123" t="s">
        <v>178</v>
      </c>
      <c r="D8" s="111" t="s">
        <v>179</v>
      </c>
      <c r="E8" s="112" t="s">
        <v>51</v>
      </c>
      <c r="H8" s="177" t="s">
        <v>174</v>
      </c>
      <c r="I8" s="178" t="e">
        <f>#REF!</f>
        <v>#REF!</v>
      </c>
      <c r="J8" s="179" t="s">
        <v>172</v>
      </c>
      <c r="K8" s="694"/>
    </row>
    <row r="9" spans="1:20" ht="16" customHeight="1" thickBot="1">
      <c r="A9" s="690"/>
      <c r="B9" s="119" t="s">
        <v>276</v>
      </c>
      <c r="C9" s="125" t="s">
        <v>178</v>
      </c>
      <c r="D9" s="120" t="s">
        <v>179</v>
      </c>
      <c r="E9" s="121" t="s">
        <v>51</v>
      </c>
      <c r="H9" s="177" t="s">
        <v>166</v>
      </c>
      <c r="I9" s="178" t="e">
        <f>#REF!</f>
        <v>#REF!</v>
      </c>
      <c r="J9" s="179" t="s">
        <v>175</v>
      </c>
      <c r="K9" s="692" t="s">
        <v>173</v>
      </c>
      <c r="N9" s="1"/>
      <c r="O9" s="1"/>
      <c r="P9" s="1"/>
      <c r="Q9" s="1"/>
    </row>
    <row r="10" spans="1:20" ht="16" customHeight="1">
      <c r="A10" s="689" t="s">
        <v>185</v>
      </c>
      <c r="B10" s="110" t="s">
        <v>49</v>
      </c>
      <c r="C10" s="123" t="s">
        <v>178</v>
      </c>
      <c r="D10" s="111" t="s">
        <v>179</v>
      </c>
      <c r="E10" s="112" t="s">
        <v>51</v>
      </c>
      <c r="H10" s="177" t="s">
        <v>176</v>
      </c>
      <c r="I10" s="178" t="e">
        <f>#REF!</f>
        <v>#REF!</v>
      </c>
      <c r="J10" s="179" t="s">
        <v>175</v>
      </c>
      <c r="K10" s="694"/>
      <c r="N10" s="1"/>
      <c r="O10" s="1"/>
      <c r="P10" s="1"/>
      <c r="Q10" s="1"/>
    </row>
    <row r="11" spans="1:20" ht="16" customHeight="1">
      <c r="A11" s="689"/>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9"/>
      <c r="B12" s="110" t="s">
        <v>275</v>
      </c>
      <c r="C12" s="123" t="s">
        <v>178</v>
      </c>
      <c r="D12" s="111" t="s">
        <v>179</v>
      </c>
      <c r="E12" s="112" t="s">
        <v>51</v>
      </c>
      <c r="H12" s="181" t="s">
        <v>106</v>
      </c>
      <c r="I12" s="182" t="e">
        <f>SUM(I6:I11)</f>
        <v>#REF!</v>
      </c>
      <c r="J12" s="183"/>
      <c r="K12" s="184"/>
      <c r="N12" s="1"/>
      <c r="O12" s="1"/>
      <c r="P12" s="1"/>
      <c r="Q12" s="1"/>
    </row>
    <row r="13" spans="1:20" ht="16" customHeight="1">
      <c r="A13" s="689"/>
      <c r="B13" s="110" t="s">
        <v>50</v>
      </c>
      <c r="C13" s="123" t="s">
        <v>178</v>
      </c>
      <c r="D13" s="111" t="s">
        <v>179</v>
      </c>
      <c r="E13" s="112" t="s">
        <v>51</v>
      </c>
      <c r="N13" s="1"/>
      <c r="O13" s="1"/>
      <c r="P13" s="1"/>
      <c r="Q13" s="1"/>
    </row>
    <row r="14" spans="1:20" ht="16" customHeight="1">
      <c r="A14" s="689"/>
      <c r="B14" s="110" t="s">
        <v>274</v>
      </c>
      <c r="C14" s="123" t="s">
        <v>178</v>
      </c>
      <c r="D14" s="111" t="s">
        <v>179</v>
      </c>
      <c r="E14" s="112" t="s">
        <v>51</v>
      </c>
      <c r="N14" s="1"/>
      <c r="O14" s="1"/>
      <c r="P14" s="1"/>
      <c r="Q14" s="1"/>
      <c r="R14" s="1"/>
      <c r="S14" s="1"/>
      <c r="T14" s="1"/>
    </row>
    <row r="15" spans="1:20" ht="16" customHeight="1" thickBot="1">
      <c r="A15" s="691"/>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9" t="s">
        <v>98</v>
      </c>
      <c r="C7" s="699"/>
      <c r="D7" s="700" t="s">
        <v>99</v>
      </c>
      <c r="E7" s="700"/>
      <c r="F7" s="701" t="s">
        <v>100</v>
      </c>
      <c r="G7" s="701"/>
      <c r="H7" s="701" t="s">
        <v>101</v>
      </c>
      <c r="I7" s="701"/>
      <c r="J7" s="702" t="s">
        <v>102</v>
      </c>
      <c r="K7" s="702"/>
      <c r="L7" s="697" t="s">
        <v>103</v>
      </c>
      <c r="M7" s="697"/>
      <c r="N7" s="698" t="s">
        <v>104</v>
      </c>
      <c r="O7" s="698"/>
      <c r="P7" s="698" t="s">
        <v>105</v>
      </c>
      <c r="Q7" s="698"/>
      <c r="U7" s="696" t="s">
        <v>69</v>
      </c>
      <c r="V7" s="696"/>
      <c r="W7" s="696" t="s">
        <v>71</v>
      </c>
      <c r="X7" s="696"/>
      <c r="Y7" s="696" t="s">
        <v>73</v>
      </c>
      <c r="Z7" s="696"/>
      <c r="AA7" s="143" t="s">
        <v>70</v>
      </c>
      <c r="AB7" s="143"/>
      <c r="AC7" s="143" t="s">
        <v>72</v>
      </c>
      <c r="AD7" s="143"/>
      <c r="AE7" s="143" t="s">
        <v>74</v>
      </c>
      <c r="AF7" s="143"/>
      <c r="AJ7" s="696" t="e">
        <f>Commodities!#REF!</f>
        <v>#REF!</v>
      </c>
      <c r="AK7" s="696"/>
      <c r="AL7" s="696" t="str">
        <f>Commodities!$C$7</f>
        <v>RHUDB</v>
      </c>
      <c r="AM7" s="696"/>
      <c r="AN7" s="696" t="str">
        <f>Commodities!$C$8</f>
        <v>RHRDB</v>
      </c>
      <c r="AO7" s="696"/>
      <c r="AP7" s="695" t="e">
        <f>Commodities!#REF!</f>
        <v>#REF!</v>
      </c>
      <c r="AQ7" s="695"/>
      <c r="AR7" s="695" t="str">
        <f>Commodities!$C$9</f>
        <v>RHUMB</v>
      </c>
      <c r="AS7" s="695"/>
      <c r="AT7" s="695" t="str">
        <f>Commodities!$C$10</f>
        <v>RHRMB</v>
      </c>
      <c r="AU7" s="695"/>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2022-05-02T12:18:52Z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