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/Users/AdamV/Desktop/Bachelor/GitHub/Bachelor_Git/"/>
    </mc:Choice>
  </mc:AlternateContent>
  <xr:revisionPtr revIDLastSave="0" documentId="13_ncr:1_{786ECDBE-551B-E045-8031-B0105FB8907B}" xr6:coauthVersionLast="47" xr6:coauthVersionMax="47" xr10:uidLastSave="{00000000-0000-0000-0000-000000000000}"/>
  <bookViews>
    <workbookView xWindow="0" yWindow="460" windowWidth="24580" windowHeight="15540" tabRatio="901" xr2:uid="{00000000-000D-0000-FFFF-FFFF00000000}"/>
  </bookViews>
  <sheets>
    <sheet name="EnergyBalance" sheetId="133" r:id="rId1"/>
    <sheet name="RES&amp;OBJ" sheetId="135" r:id="rId2"/>
    <sheet name="Pri_COA" sheetId="132" r:id="rId3"/>
    <sheet name="DemTechs_TPS" sheetId="136" r:id="rId4"/>
    <sheet name="Demands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36" l="1"/>
  <c r="H11" i="136" s="1"/>
  <c r="E2" i="136"/>
  <c r="P5" i="136" s="1"/>
  <c r="D2" i="136"/>
  <c r="O5" i="136" s="1"/>
  <c r="B2" i="136"/>
  <c r="N5" i="136" s="1"/>
  <c r="C2" i="136"/>
  <c r="I12" i="136"/>
  <c r="K24" i="133"/>
  <c r="I13" i="132"/>
  <c r="I14" i="132"/>
  <c r="I11" i="132"/>
  <c r="I12" i="132"/>
  <c r="I17" i="132"/>
  <c r="I18" i="132"/>
  <c r="L11" i="133"/>
  <c r="F24" i="133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14" i="133" s="1"/>
  <c r="L7" i="133"/>
  <c r="L6" i="133"/>
  <c r="L5" i="133"/>
  <c r="K8" i="133"/>
  <c r="J8" i="133"/>
  <c r="J21" i="133"/>
  <c r="J24" i="133" s="1"/>
  <c r="I8" i="133"/>
  <c r="I21" i="133"/>
  <c r="I24" i="133"/>
  <c r="H8" i="133"/>
  <c r="H21" i="133" s="1"/>
  <c r="H24" i="133" s="1"/>
  <c r="G8" i="133"/>
  <c r="G21" i="133" s="1"/>
  <c r="G24" i="133" s="1"/>
  <c r="F8" i="133"/>
  <c r="E8" i="133"/>
  <c r="E21" i="133" s="1"/>
  <c r="E24" i="133" s="1"/>
  <c r="D8" i="133"/>
  <c r="D21" i="133"/>
  <c r="G2" i="134"/>
  <c r="E2" i="134"/>
  <c r="E8" i="134"/>
  <c r="E2" i="132"/>
  <c r="G10" i="132" s="1"/>
  <c r="O15" i="132"/>
  <c r="G2" i="132"/>
  <c r="K11" i="132"/>
  <c r="M12" i="132" s="1"/>
  <c r="M11" i="132"/>
  <c r="B11" i="132" s="1"/>
  <c r="K15" i="132"/>
  <c r="M15" i="132" s="1"/>
  <c r="B17" i="132" s="1"/>
  <c r="K14" i="132"/>
  <c r="D2" i="132"/>
  <c r="N15" i="132" s="1"/>
  <c r="N5" i="132"/>
  <c r="C2" i="132"/>
  <c r="M5" i="132"/>
  <c r="D11" i="132" s="1"/>
  <c r="D15" i="132"/>
  <c r="O14" i="132"/>
  <c r="O12" i="132"/>
  <c r="O11" i="132"/>
  <c r="D16" i="132"/>
  <c r="C17" i="132"/>
  <c r="O5" i="132"/>
  <c r="D12" i="136" l="1"/>
  <c r="C9" i="134"/>
  <c r="B13" i="132"/>
  <c r="N12" i="132"/>
  <c r="P12" i="136"/>
  <c r="Q12" i="136"/>
  <c r="N11" i="132"/>
  <c r="M13" i="132"/>
  <c r="B15" i="132" s="1"/>
  <c r="E11" i="136"/>
  <c r="I11" i="136"/>
  <c r="D13" i="132"/>
  <c r="M14" i="132"/>
  <c r="B16" i="132" s="1"/>
  <c r="L8" i="133"/>
  <c r="O12" i="136"/>
  <c r="N12" i="136" s="1"/>
  <c r="B12" i="136" s="1"/>
  <c r="C12" i="136" s="1"/>
  <c r="L21" i="133"/>
  <c r="L24" i="133" s="1"/>
  <c r="N14" i="132"/>
  <c r="I10" i="132"/>
  <c r="H10" i="132"/>
  <c r="D24" i="133"/>
  <c r="E9" i="134" s="1"/>
  <c r="O13" i="132"/>
  <c r="N13" i="1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<sst xmlns="http://schemas.openxmlformats.org/spreadsheetml/2006/main" count="231" uniqueCount="153">
  <si>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</si>
  <si>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</si>
  <si>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</si>
  <si>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</si>
  <si>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</si>
  <si>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</si>
  <si>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</si>
  <si>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</si>
  <si>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</si>
  <si>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</si>
  <si>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</si>
  <si>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</si>
  <si>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</si>
  <si>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</si>
  <si>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</si>
  <si>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</si>
  <si>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</si>
  <si>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</si>
  <si>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</si>
  <si>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</si>
  <si>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</si>
  <si>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</si>
  <si>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</si>
  <si>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</si>
  <si>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</si>
  <si>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</si>
  <si>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</si>
  <si>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</si>
  <si>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</si>
  <si>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</si>
  <si>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</si>
  <si>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</si>
  <si>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</si>
  <si>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</si>
  <si>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</si>
  <si>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</si>
  <si>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</si>
  <si>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</si>
  <si>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</si>
  <si>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</si>
  <si>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</si>
  <si>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</si>
  <si>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</si>
  <si>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</si>
  <si>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</si>
  <si>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</si>
  <si>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</si>
  <si>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</si>
  <si>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</si>
  <si>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</si>
  <si>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</si>
  <si>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</si>
  <si>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</si>
  <si>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</si>
  <si>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</si>
  <si>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</si>
  <si>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</si>
  <si>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</si>
  <si>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</si>
  <si>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</si>
  <si>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</si>
  <si>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</si>
  <si>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</si>
  <si>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</si>
  <si>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</si>
  <si>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</si>
  <si>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</si>
  <si>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</si>
  <si>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</si>
  <si>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</si>
  <si>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</si>
  <si>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</si>
  <si>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</si>
  <si>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</si>
  <si>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</si>
  <si>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</si>
  <si>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</si>
  <si>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</si>
  <si>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</si>
  <si>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</si>
  <si>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</si>
  <si>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</si>
  <si>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</si>
  <si>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</si>
  <si>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</si>
  <si>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</si>
  <si>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</si>
  <si>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</si>
  <si>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</si>
  <si>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</si>
  <si>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</si>
  <si>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</si>
  <si>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</si>
  <si>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</si>
  <si>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</si>
  <si>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</si>
  <si>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</si>
  <si>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</si>
  <si>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</si>
  <si>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</si>
  <si>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Attribute</t>
  </si>
  <si>
    <t>*</t>
  </si>
  <si>
    <t>Demand Commodity Name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</si>
  <si>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</si>
  <si>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</si>
  <si>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</si>
  <si>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</si>
  <si>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</si>
  <si>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</si>
  <si>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</si>
  <si>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</si>
  <si>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</si>
  <si>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</si>
  <si>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</si>
  <si>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</si>
  <si>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</si>
  <si>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</si>
  <si>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</si>
  <si>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</si>
  <si>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</si>
  <si>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</si>
  <si>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</si>
  <si>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</si>
  <si>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</si>
  <si>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</si>
  <si>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UP</t>
  </si>
  <si>
    <t>Type</t>
  </si>
  <si>
    <t>Existing</t>
  </si>
  <si>
    <t>E</t>
  </si>
  <si>
    <t>STOCK</t>
  </si>
  <si>
    <t>EFF</t>
  </si>
  <si>
    <t>AFA</t>
  </si>
  <si>
    <t>INVCOST</t>
  </si>
  <si>
    <t>FIXOM</t>
  </si>
  <si>
    <t>LIFE</t>
  </si>
  <si>
    <t>Existing Installed Capacity</t>
  </si>
  <si>
    <t>Efficiency</t>
  </si>
  <si>
    <t>Utilisation Factor</t>
  </si>
  <si>
    <t>Invesctment Cost</t>
  </si>
  <si>
    <t>Fixed O&amp;M Cost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</si>
  <si>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</si>
  <si>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</si>
  <si>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</si>
  <si>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</si>
  <si>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</si>
  <si>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</si>
  <si>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Lifetime</t>
  </si>
  <si>
    <t>Crude Oil</t>
  </si>
  <si>
    <t>Objective Function</t>
  </si>
  <si>
    <t>Run name: DemoS_001</t>
  </si>
  <si>
    <t>_SysCost result table</t>
  </si>
  <si>
    <t>Reference Energy System</t>
  </si>
  <si>
    <t>Heyy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</si>
</sst>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\Te\x\t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2" applyNumberFormat="0" applyAlignment="0" applyProtection="0"/>
    <xf numFmtId="43" fontId="13" fillId="0" borderId="0" applyFont="0" applyFill="0" applyBorder="0" applyAlignment="0" applyProtection="0"/>
    <xf numFmtId="0" fontId="16" fillId="7" borderId="0" applyNumberFormat="0" applyBorder="0" applyAlignment="0" applyProtection="0"/>
    <xf numFmtId="0" fontId="17" fillId="8" borderId="12" applyNumberFormat="0" applyAlignment="0" applyProtection="0"/>
    <xf numFmtId="0" fontId="18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7">
    <xf numFmtId="0" fontId="0" fillId="0" borderId="0" xfId="0"/>
    <xf numFmtId="0" fontId="5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6" fillId="0" borderId="0" xfId="0" applyFont="1" applyFill="1"/>
    <xf numFmtId="0" fontId="6" fillId="0" borderId="0" xfId="11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5" fillId="0" borderId="0" xfId="0" applyFont="1" applyFill="1" applyBorder="1"/>
    <xf numFmtId="0" fontId="5" fillId="0" borderId="0" xfId="0" applyFont="1" applyFill="1"/>
    <xf numFmtId="0" fontId="14" fillId="5" borderId="0" xfId="3"/>
    <xf numFmtId="0" fontId="19" fillId="10" borderId="0" xfId="6" applyFont="1" applyFill="1"/>
    <xf numFmtId="0" fontId="20" fillId="3" borderId="3" xfId="1" applyFont="1" applyBorder="1" applyAlignment="1">
      <alignment horizontal="center" wrapText="1"/>
    </xf>
    <xf numFmtId="0" fontId="20" fillId="3" borderId="3" xfId="1" applyFont="1" applyBorder="1" applyAlignment="1">
      <alignment horizontal="left" wrapText="1"/>
    </xf>
    <xf numFmtId="0" fontId="20" fillId="3" borderId="1" xfId="1" applyFont="1" applyBorder="1" applyAlignment="1">
      <alignment horizontal="left" wrapText="1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0" fontId="0" fillId="0" borderId="0" xfId="0" applyFill="1" applyAlignment="1">
      <alignment wrapText="1"/>
    </xf>
    <xf numFmtId="0" fontId="21" fillId="0" borderId="0" xfId="0" applyFont="1"/>
    <xf numFmtId="0" fontId="5" fillId="0" borderId="5" xfId="0" applyFont="1" applyBorder="1"/>
    <xf numFmtId="0" fontId="5" fillId="0" borderId="6" xfId="0" applyFont="1" applyBorder="1"/>
    <xf numFmtId="9" fontId="22" fillId="0" borderId="6" xfId="16" applyFont="1" applyBorder="1" applyAlignment="1"/>
    <xf numFmtId="0" fontId="5" fillId="0" borderId="7" xfId="0" applyFont="1" applyBorder="1"/>
    <xf numFmtId="9" fontId="22" fillId="0" borderId="7" xfId="16" applyFont="1" applyBorder="1" applyAlignment="1"/>
    <xf numFmtId="0" fontId="5" fillId="0" borderId="0" xfId="0" applyFont="1" applyBorder="1"/>
    <xf numFmtId="9" fontId="22" fillId="0" borderId="0" xfId="16" applyFont="1" applyBorder="1" applyAlignment="1"/>
    <xf numFmtId="0" fontId="14" fillId="5" borderId="0" xfId="3" applyAlignment="1">
      <alignment wrapText="1"/>
    </xf>
    <xf numFmtId="0" fontId="4" fillId="0" borderId="0" xfId="0" applyFont="1"/>
    <xf numFmtId="1" fontId="5" fillId="0" borderId="0" xfId="9" applyNumberFormat="1"/>
    <xf numFmtId="0" fontId="5" fillId="0" borderId="8" xfId="0" applyFont="1" applyFill="1" applyBorder="1"/>
    <xf numFmtId="0" fontId="4" fillId="0" borderId="2" xfId="0" applyFont="1" applyBorder="1" applyAlignment="1">
      <alignment horizontal="center" wrapText="1"/>
    </xf>
    <xf numFmtId="0" fontId="23" fillId="0" borderId="0" xfId="0" applyFont="1" applyFill="1"/>
    <xf numFmtId="0" fontId="19" fillId="10" borderId="0" xfId="6" applyFont="1" applyFill="1" applyAlignment="1">
      <alignment horizontal="left"/>
    </xf>
    <xf numFmtId="1" fontId="0" fillId="11" borderId="0" xfId="0" applyNumberFormat="1" applyFill="1" applyAlignment="1"/>
    <xf numFmtId="1" fontId="4" fillId="11" borderId="0" xfId="0" applyNumberFormat="1" applyFont="1" applyFill="1" applyAlignment="1"/>
    <xf numFmtId="1" fontId="0" fillId="11" borderId="0" xfId="0" applyNumberFormat="1" applyFill="1" applyBorder="1" applyAlignment="1"/>
    <xf numFmtId="0" fontId="23" fillId="12" borderId="2" xfId="0" applyFont="1" applyFill="1" applyBorder="1" applyAlignment="1">
      <alignment wrapText="1"/>
    </xf>
    <xf numFmtId="0" fontId="4" fillId="12" borderId="2" xfId="0" applyFont="1" applyFill="1" applyBorder="1" applyAlignment="1">
      <alignment wrapText="1"/>
    </xf>
    <xf numFmtId="0" fontId="23" fillId="12" borderId="0" xfId="0" applyFont="1" applyFill="1"/>
    <xf numFmtId="1" fontId="0" fillId="13" borderId="0" xfId="0" applyNumberFormat="1" applyFill="1" applyBorder="1" applyAlignment="1"/>
    <xf numFmtId="1" fontId="4" fillId="13" borderId="0" xfId="0" applyNumberFormat="1" applyFont="1" applyFill="1" applyBorder="1" applyAlignment="1"/>
    <xf numFmtId="0" fontId="0" fillId="13" borderId="0" xfId="0" applyFill="1"/>
    <xf numFmtId="1" fontId="0" fillId="14" borderId="0" xfId="0" applyNumberFormat="1" applyFill="1" applyAlignment="1"/>
    <xf numFmtId="1" fontId="0" fillId="14" borderId="2" xfId="0" applyNumberFormat="1" applyFill="1" applyBorder="1" applyAlignment="1"/>
    <xf numFmtId="0" fontId="0" fillId="14" borderId="0" xfId="0" applyFill="1" applyAlignment="1"/>
    <xf numFmtId="1" fontId="4" fillId="14" borderId="0" xfId="0" applyNumberFormat="1" applyFont="1" applyFill="1" applyAlignment="1"/>
    <xf numFmtId="1" fontId="4" fillId="14" borderId="2" xfId="0" applyNumberFormat="1" applyFont="1" applyFill="1" applyBorder="1" applyAlignment="1"/>
    <xf numFmtId="1" fontId="17" fillId="8" borderId="0" xfId="7" applyNumberFormat="1" applyBorder="1" applyAlignment="1"/>
    <xf numFmtId="1" fontId="15" fillId="6" borderId="4" xfId="4" applyNumberFormat="1" applyBorder="1" applyAlignment="1">
      <alignment horizontal="right"/>
    </xf>
    <xf numFmtId="1" fontId="17" fillId="8" borderId="4" xfId="7" applyNumberFormat="1" applyBorder="1" applyAlignment="1"/>
    <xf numFmtId="1" fontId="15" fillId="6" borderId="9" xfId="4" applyNumberFormat="1" applyBorder="1" applyAlignment="1">
      <alignment horizontal="right"/>
    </xf>
    <xf numFmtId="164" fontId="15" fillId="6" borderId="5" xfId="4" applyNumberFormat="1" applyBorder="1" applyAlignment="1">
      <alignment horizontal="right" vertical="center"/>
    </xf>
    <xf numFmtId="0" fontId="4" fillId="0" borderId="2" xfId="0" applyFont="1" applyBorder="1" applyAlignment="1"/>
    <xf numFmtId="1" fontId="15" fillId="6" borderId="13" xfId="4" applyNumberFormat="1" applyBorder="1" applyAlignment="1">
      <alignment horizontal="right"/>
    </xf>
    <xf numFmtId="1" fontId="15" fillId="6" borderId="14" xfId="4" applyNumberFormat="1" applyBorder="1" applyAlignment="1">
      <alignment horizontal="right"/>
    </xf>
    <xf numFmtId="164" fontId="10" fillId="13" borderId="6" xfId="0" applyNumberFormat="1" applyFont="1" applyFill="1" applyBorder="1" applyAlignment="1">
      <alignment horizontal="left" vertical="center"/>
    </xf>
    <xf numFmtId="164" fontId="10" fillId="13" borderId="10" xfId="0" applyNumberFormat="1" applyFont="1" applyFill="1" applyBorder="1" applyAlignment="1">
      <alignment horizontal="left" vertical="center"/>
    </xf>
    <xf numFmtId="164" fontId="10" fillId="14" borderId="6" xfId="0" applyNumberFormat="1" applyFont="1" applyFill="1" applyBorder="1" applyAlignment="1">
      <alignment horizontal="left" vertical="center"/>
    </xf>
    <xf numFmtId="164" fontId="10" fillId="14" borderId="10" xfId="0" applyNumberFormat="1" applyFont="1" applyFill="1" applyBorder="1" applyAlignment="1">
      <alignment horizontal="left" vertical="center"/>
    </xf>
    <xf numFmtId="164" fontId="10" fillId="14" borderId="7" xfId="0" applyNumberFormat="1" applyFont="1" applyFill="1" applyBorder="1" applyAlignment="1">
      <alignment horizontal="left" vertical="center"/>
    </xf>
    <xf numFmtId="1" fontId="5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0" fontId="5" fillId="13" borderId="0" xfId="8" applyFont="1" applyFill="1"/>
    <xf numFmtId="2" fontId="5" fillId="13" borderId="0" xfId="0" applyNumberFormat="1" applyFont="1" applyFill="1" applyBorder="1"/>
    <xf numFmtId="0" fontId="24" fillId="0" borderId="0" xfId="0" applyFont="1"/>
    <xf numFmtId="0" fontId="4" fillId="16" borderId="0" xfId="0" applyFont="1" applyFill="1"/>
    <xf numFmtId="1" fontId="5" fillId="15" borderId="0" xfId="8" applyNumberFormat="1" applyFont="1" applyFill="1"/>
    <xf numFmtId="0" fontId="19" fillId="10" borderId="0" xfId="6" applyFont="1" applyFill="1" applyAlignment="1">
      <alignment wrapText="1"/>
    </xf>
    <xf numFmtId="0" fontId="19" fillId="0" borderId="0" xfId="6" applyFont="1" applyFill="1"/>
    <xf numFmtId="0" fontId="5" fillId="0" borderId="0" xfId="11" applyFill="1" applyBorder="1" applyAlignment="1">
      <alignment horizontal="left"/>
    </xf>
    <xf numFmtId="0" fontId="5" fillId="0" borderId="0" xfId="11" applyFill="1" applyBorder="1" applyAlignment="1">
      <alignment horizontal="right"/>
    </xf>
    <xf numFmtId="0" fontId="22" fillId="0" borderId="0" xfId="0" applyFont="1" applyFill="1" applyBorder="1"/>
    <xf numFmtId="0" fontId="4" fillId="2" borderId="1" xfId="11" applyFont="1" applyFill="1" applyBorder="1" applyAlignment="1">
      <alignment horizontal="left" vertical="center"/>
    </xf>
    <xf numFmtId="0" fontId="20" fillId="3" borderId="11" xfId="1" applyFont="1" applyBorder="1" applyAlignment="1">
      <alignment horizontal="center" wrapText="1"/>
    </xf>
    <xf numFmtId="2" fontId="0" fillId="13" borderId="0" xfId="0" applyNumberFormat="1" applyFill="1"/>
    <xf numFmtId="0" fontId="0" fillId="0" borderId="0" xfId="0" applyFill="1" applyAlignment="1"/>
    <xf numFmtId="2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Fill="1"/>
    <xf numFmtId="2" fontId="0" fillId="0" borderId="0" xfId="0" applyNumberFormat="1" applyFill="1"/>
    <xf numFmtId="0" fontId="14" fillId="4" borderId="0" xfId="2"/>
    <xf numFmtId="0" fontId="0" fillId="0" borderId="4" xfId="0" applyBorder="1" applyAlignment="1"/>
    <xf numFmtId="1" fontId="17" fillId="8" borderId="1" xfId="7" applyNumberFormat="1" applyBorder="1" applyAlignment="1"/>
    <xf numFmtId="1" fontId="15" fillId="6" borderId="15" xfId="4" applyNumberFormat="1" applyBorder="1" applyAlignment="1">
      <alignment horizontal="right"/>
    </xf>
    <xf numFmtId="164" fontId="9" fillId="0" borderId="5" xfId="0" applyNumberFormat="1" applyFont="1" applyBorder="1" applyAlignment="1">
      <alignment horizontal="left" vertical="center"/>
    </xf>
    <xf numFmtId="164" fontId="10" fillId="11" borderId="10" xfId="0" applyNumberFormat="1" applyFont="1" applyFill="1" applyBorder="1" applyAlignment="1">
      <alignment horizontal="left" vertical="center"/>
    </xf>
    <xf numFmtId="164" fontId="9" fillId="0" borderId="7" xfId="0" applyNumberFormat="1" applyFont="1" applyBorder="1" applyAlignment="1">
      <alignment horizontal="left" vertical="center"/>
    </xf>
    <xf numFmtId="0" fontId="20" fillId="3" borderId="4" xfId="1" applyFont="1" applyBorder="1" applyAlignment="1">
      <alignment horizontal="left" wrapText="1"/>
    </xf>
    <xf numFmtId="0" fontId="4" fillId="2" borderId="1" xfId="11" applyFont="1" applyFill="1" applyBorder="1" applyAlignment="1">
      <alignment horizontal="left" vertical="center" wrapText="1"/>
    </xf>
    <xf numFmtId="0" fontId="4" fillId="0" borderId="0" xfId="0" applyFont="1" applyFill="1"/>
    <xf numFmtId="1" fontId="0" fillId="0" borderId="0" xfId="0" applyNumberFormat="1" applyFill="1" applyBorder="1"/>
    <xf numFmtId="0" fontId="4" fillId="0" borderId="0" xfId="0" applyFont="1" applyFill="1" applyBorder="1" applyAlignment="1">
      <alignment vertical="center"/>
    </xf>
    <xf numFmtId="0" fontId="20" fillId="0" borderId="0" xfId="1" applyFont="1" applyFill="1" applyBorder="1" applyAlignment="1">
      <alignment horizontal="left" wrapText="1"/>
    </xf>
    <xf numFmtId="0" fontId="5" fillId="0" borderId="0" xfId="8" applyFont="1" applyFill="1"/>
    <xf numFmtId="2" fontId="5" fillId="0" borderId="0" xfId="0" applyNumberFormat="1" applyFont="1" applyFill="1" applyBorder="1"/>
    <xf numFmtId="1" fontId="5" fillId="13" borderId="0" xfId="8" applyNumberFormat="1" applyFont="1" applyFill="1"/>
    <xf numFmtId="0" fontId="4" fillId="2" borderId="1" xfId="0" applyFont="1" applyFill="1" applyBorder="1" applyAlignment="1">
      <alignment horizontal="center"/>
    </xf>
    <xf numFmtId="165" fontId="6" fillId="0" borderId="0" xfId="0" applyNumberFormat="1" applyFont="1"/>
    <xf numFmtId="165" fontId="5" fillId="0" borderId="0" xfId="0" applyNumberFormat="1" applyFont="1"/>
    <xf numFmtId="165" fontId="4" fillId="2" borderId="1" xfId="0" applyNumberFormat="1" applyFont="1" applyFill="1" applyBorder="1" applyAlignment="1">
      <alignment horizontal="left"/>
    </xf>
    <xf numFmtId="165" fontId="4" fillId="2" borderId="4" xfId="0" applyNumberFormat="1" applyFont="1" applyFill="1" applyBorder="1" applyAlignment="1">
      <alignment horizontal="left"/>
    </xf>
    <xf numFmtId="165" fontId="20" fillId="3" borderId="3" xfId="1" applyNumberFormat="1" applyFont="1" applyBorder="1" applyAlignment="1">
      <alignment horizontal="left" wrapText="1"/>
    </xf>
    <xf numFmtId="165" fontId="5" fillId="0" borderId="0" xfId="0" applyNumberFormat="1" applyFont="1" applyFill="1"/>
    <xf numFmtId="165" fontId="0" fillId="0" borderId="0" xfId="0" applyNumberFormat="1" applyFill="1"/>
    <xf numFmtId="165" fontId="0" fillId="0" borderId="0" xfId="0" applyNumberFormat="1"/>
    <xf numFmtId="165" fontId="20" fillId="3" borderId="3" xfId="1" applyNumberFormat="1" applyFont="1" applyBorder="1" applyAlignment="1">
      <alignment horizontal="center" wrapText="1"/>
    </xf>
    <xf numFmtId="165" fontId="0" fillId="0" borderId="0" xfId="0" applyNumberFormat="1" applyFill="1" applyAlignment="1">
      <alignment wrapText="1"/>
    </xf>
    <xf numFmtId="165" fontId="0" fillId="0" borderId="0" xfId="0" applyNumberFormat="1" applyFill="1" applyAlignment="1"/>
    <xf numFmtId="0" fontId="0" fillId="0" borderId="0" xfId="0"/>
    <xf numFmtId="0" fontId="4" fillId="0" borderId="0" xfId="0" applyFont="1"/>
    <xf numFmtId="0" fontId="24" fillId="0" borderId="0" xfId="0" applyFont="1"/>
    <xf numFmtId="0" fontId="26" fillId="0" borderId="0" xfId="0" applyFont="1"/>
  </cellXfs>
  <cellStyles count="33">
    <cellStyle name="20 % - Farve5" xfId="1" builtinId="46"/>
    <cellStyle name="20% - Accent5 2" xfId="21" xr:uid="{31757489-FEFA-449A-A288-159658577717}"/>
    <cellStyle name="60 % - Farve2" xfId="2" builtinId="36"/>
    <cellStyle name="Beregning" xfId="4" builtinId="22"/>
    <cellStyle name="Comma 2" xfId="5" xr:uid="{00000000-0005-0000-0000-000004000000}"/>
    <cellStyle name="Comma 2 2" xfId="22" xr:uid="{992F3F54-BB44-4021-B091-4DBD5F448EEB}"/>
    <cellStyle name="Farve2" xfId="3" builtinId="33"/>
    <cellStyle name="G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10 2" xfId="23" xr:uid="{5EA17536-A712-4781-BCCF-ECAF33BF8BC7}"/>
    <cellStyle name="Normal 2" xfId="10" xr:uid="{00000000-0005-0000-0000-00000A000000}"/>
    <cellStyle name="Normal 2 2" xfId="24" xr:uid="{7CCD0894-C5F5-4C40-B0A7-C63083B598FB}"/>
    <cellStyle name="Normal 4" xfId="11" xr:uid="{00000000-0005-0000-0000-00000B000000}"/>
    <cellStyle name="Normal 4 2" xfId="12" xr:uid="{00000000-0005-0000-0000-00000C000000}"/>
    <cellStyle name="Normal 4 2 2" xfId="26" xr:uid="{D2ED2190-9585-4E0D-B1BF-2666A5D955EF}"/>
    <cellStyle name="Normal 4 3" xfId="25" xr:uid="{B4CC5CDE-9B48-4884-A55D-FAF2CCC9E0C1}"/>
    <cellStyle name="Normal 8" xfId="13" xr:uid="{00000000-0005-0000-0000-00000D000000}"/>
    <cellStyle name="Normal 8 2" xfId="27" xr:uid="{5BD2B853-133D-4D16-BC10-146423763DB9}"/>
    <cellStyle name="Normal 9 2" xfId="14" xr:uid="{00000000-0005-0000-0000-00000E000000}"/>
    <cellStyle name="Normal 9 2 2" xfId="28" xr:uid="{35EF86F0-C879-4B2F-B6FC-19AD89FDFA92}"/>
    <cellStyle name="Normale_B2020" xfId="15" xr:uid="{00000000-0005-0000-0000-00000F000000}"/>
    <cellStyle name="Percent 2" xfId="17" xr:uid="{00000000-0005-0000-0000-000011000000}"/>
    <cellStyle name="Percent 2 2" xfId="30" xr:uid="{2FE97164-82E7-4FA2-8926-A7BFE3C6AA9F}"/>
    <cellStyle name="Percent 3" xfId="18" xr:uid="{00000000-0005-0000-0000-000012000000}"/>
    <cellStyle name="Percent 3 2" xfId="31" xr:uid="{371B735E-ABC9-4C25-BBF8-16A9CA2AF31F}"/>
    <cellStyle name="Percent 4" xfId="19" xr:uid="{00000000-0005-0000-0000-000013000000}"/>
    <cellStyle name="Percent 4 2" xfId="32" xr:uid="{7844C6FD-8CE1-4C55-9B62-6B4D09A64D22}"/>
    <cellStyle name="Percent 5" xfId="29" xr:uid="{C2C75864-05DE-416D-AF41-9F9069182A66}"/>
    <cellStyle name="Procent" xfId="16" builtinId="5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699557</xdr:colOff>
      <xdr:row>26</xdr:row>
      <xdr:rowOff>11430</xdr:rowOff>
    </xdr:from>
    <xdr:to>
      <xdr:col>11</xdr:col>
      <xdr:colOff>699579</xdr:colOff>
      <xdr:row>31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33</xdr:row>
      <xdr:rowOff>166159</xdr:rowOff>
    </xdr:from>
    <xdr:to>
      <xdr:col>13</xdr:col>
      <xdr:colOff>39383</xdr:colOff>
      <xdr:row>38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361950</xdr:colOff>
      <xdr:row>1</xdr:row>
      <xdr:rowOff>0</xdr:rowOff>
    </xdr:from>
    <xdr:to>
      <xdr:col>9</xdr:col>
      <xdr:colOff>418712</xdr:colOff>
      <xdr:row>11</xdr:row>
      <xdr:rowOff>123586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8C2F45-F629-41AF-B939-F38637CA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66925" y="161925"/>
          <a:ext cx="3104762" cy="1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2365959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5F0519-A3A7-46AD-ADDA-3FEAC7CB9EBE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A526C4-1FCA-4856-8834-3BCE914C093D}"/>
            </a:ext>
          </a:extLst>
        </xdr:cNvPr>
        <xdr:cNvSpPr txBox="1"/>
      </xdr:nvSpPr>
      <xdr:spPr>
        <a:xfrm>
          <a:off x="6678929" y="3145155"/>
          <a:ext cx="7141950" cy="8077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14</xdr:row>
      <xdr:rowOff>144780</xdr:rowOff>
    </xdr:from>
    <xdr:to>
      <xdr:col>4</xdr:col>
      <xdr:colOff>512435</xdr:colOff>
      <xdr:row>18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6FA24F-8A75-4C94-AE32-6D4C54F470CF}"/>
            </a:ext>
          </a:extLst>
        </xdr:cNvPr>
        <xdr:cNvSpPr txBox="1"/>
      </xdr:nvSpPr>
      <xdr:spPr>
        <a:xfrm>
          <a:off x="91440" y="2773680"/>
          <a:ext cx="3794760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base year. The COA demand defined in this sheet is the sum of Conversion and Final coal. consumption.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zoomScale="90" zoomScaleNormal="90" workbookViewId="0">
      <selection activeCell="O14" sqref="O14"/>
    </sheetView>
  </sheetViews>
  <sheetFormatPr baseColWidth="10" defaultColWidth="8.83203125" defaultRowHeight="13" x14ac:dyDescent="0.15"/>
  <cols>
    <col min="1" max="1" width="3" bestFit="1" customWidth="1"/>
    <col min="2" max="2" width="5.5" bestFit="1" customWidth="1"/>
    <col min="3" max="3" width="40.1640625" bestFit="1" customWidth="1"/>
    <col min="4" max="5" width="13.33203125" customWidth="1"/>
    <col min="6" max="6" width="15.5" customWidth="1"/>
    <col min="7" max="11" width="13.33203125" customWidth="1"/>
    <col min="12" max="12" width="10.5" customWidth="1"/>
    <col min="13" max="13" width="10.83203125" customWidth="1"/>
    <col min="14" max="14" width="15.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6" customFormat="1" x14ac:dyDescent="0.15">
      <c r="P1" s="22" t="s">
        <v>111</v>
      </c>
      <c r="Q1" s="1" t="s">
        <v>112</v>
      </c>
      <c r="R1" s="1" t="s">
        <v>113</v>
      </c>
      <c r="S1" s="1" t="s">
        <v>114</v>
      </c>
    </row>
    <row r="2" spans="1:19" ht="16" x14ac:dyDescent="0.2">
      <c r="B2" t="s">
        <v>152</v>
      </c>
      <c r="C2" s="7"/>
      <c r="D2" s="40" t="s">
        <v>46</v>
      </c>
      <c r="E2" s="40" t="s">
        <v>47</v>
      </c>
      <c r="F2" s="40" t="s">
        <v>48</v>
      </c>
      <c r="G2" s="40" t="s">
        <v>49</v>
      </c>
      <c r="H2" s="40" t="s">
        <v>50</v>
      </c>
      <c r="I2" s="40" t="s">
        <v>51</v>
      </c>
      <c r="J2" s="40" t="s">
        <v>52</v>
      </c>
      <c r="K2" s="40" t="s">
        <v>53</v>
      </c>
      <c r="L2" s="31"/>
      <c r="M2" s="6"/>
      <c r="P2" s="8"/>
      <c r="Q2" s="36" t="s">
        <v>121</v>
      </c>
      <c r="R2" s="14" t="s">
        <v>96</v>
      </c>
      <c r="S2" s="14" t="s">
        <v>115</v>
      </c>
    </row>
    <row r="3" spans="1:19" ht="28" x14ac:dyDescent="0.15">
      <c r="C3" s="9"/>
      <c r="D3" s="41" t="s">
        <v>54</v>
      </c>
      <c r="E3" s="41" t="s">
        <v>55</v>
      </c>
      <c r="F3" s="41" t="s">
        <v>147</v>
      </c>
      <c r="G3" s="41" t="s">
        <v>56</v>
      </c>
      <c r="H3" s="41" t="s">
        <v>57</v>
      </c>
      <c r="I3" s="41" t="s">
        <v>58</v>
      </c>
      <c r="J3" s="41" t="s">
        <v>59</v>
      </c>
      <c r="K3" s="41" t="s">
        <v>106</v>
      </c>
      <c r="L3" s="34" t="s">
        <v>60</v>
      </c>
      <c r="M3" s="6"/>
    </row>
    <row r="4" spans="1:19" x14ac:dyDescent="0.15">
      <c r="C4" s="89" t="s">
        <v>61</v>
      </c>
      <c r="D4" s="7"/>
      <c r="E4" s="86"/>
      <c r="F4" s="86"/>
      <c r="G4" s="9"/>
      <c r="H4" s="9"/>
      <c r="I4" s="9"/>
      <c r="J4" s="9"/>
      <c r="K4" s="9"/>
      <c r="L4" s="9"/>
      <c r="M4" s="6"/>
    </row>
    <row r="5" spans="1:19" ht="15" x14ac:dyDescent="0.2">
      <c r="B5" s="42" t="s">
        <v>62</v>
      </c>
      <c r="C5" s="90" t="s">
        <v>63</v>
      </c>
      <c r="D5" s="87">
        <v>8098.3580000000002</v>
      </c>
      <c r="E5" s="37">
        <v>7899.4970000000003</v>
      </c>
      <c r="F5" s="37">
        <v>5378.5119999999997</v>
      </c>
      <c r="G5" s="37">
        <v>10775.148999999999</v>
      </c>
      <c r="H5" s="37">
        <v>5026.6000000000004</v>
      </c>
      <c r="I5" s="37">
        <v>0</v>
      </c>
      <c r="J5" s="37">
        <v>0</v>
      </c>
      <c r="K5" s="37">
        <v>0</v>
      </c>
      <c r="L5" s="38">
        <f>SUM(D5:K5)</f>
        <v>37178.115999999995</v>
      </c>
      <c r="M5" s="6"/>
      <c r="P5" s="10"/>
    </row>
    <row r="6" spans="1:19" ht="15" x14ac:dyDescent="0.2">
      <c r="B6" s="42" t="s">
        <v>64</v>
      </c>
      <c r="C6" s="90" t="s">
        <v>65</v>
      </c>
      <c r="D6" s="51">
        <v>6462.6710000000003</v>
      </c>
      <c r="E6" s="37">
        <v>13291.728999999999</v>
      </c>
      <c r="F6" s="37">
        <v>39959.980000000003</v>
      </c>
      <c r="G6" s="37">
        <v>0</v>
      </c>
      <c r="H6" s="37">
        <v>113.01900000000001</v>
      </c>
      <c r="I6" s="37">
        <v>7.0000000000000001E-3</v>
      </c>
      <c r="J6" s="37">
        <v>0.153</v>
      </c>
      <c r="K6" s="37">
        <v>1167.52</v>
      </c>
      <c r="L6" s="38">
        <f>SUM(D6:K6)</f>
        <v>60995.078999999998</v>
      </c>
      <c r="M6" s="6"/>
    </row>
    <row r="7" spans="1:19" ht="15" x14ac:dyDescent="0.2">
      <c r="B7" s="42" t="s">
        <v>66</v>
      </c>
      <c r="C7" s="90" t="s">
        <v>67</v>
      </c>
      <c r="D7" s="51">
        <v>-1147.069</v>
      </c>
      <c r="E7" s="39">
        <v>-2516.3310000000001</v>
      </c>
      <c r="F7" s="39">
        <v>-14830.662</v>
      </c>
      <c r="G7" s="39">
        <v>0</v>
      </c>
      <c r="H7" s="39">
        <v>-72.403999999999996</v>
      </c>
      <c r="I7" s="39">
        <v>0</v>
      </c>
      <c r="J7" s="39">
        <v>-0.129</v>
      </c>
      <c r="K7" s="39">
        <v>-1126.8040000000001</v>
      </c>
      <c r="L7" s="38">
        <f>SUM(D7:K7)</f>
        <v>-19693.399000000001</v>
      </c>
      <c r="M7" s="6"/>
      <c r="P7" s="10"/>
    </row>
    <row r="8" spans="1:19" ht="15" x14ac:dyDescent="0.2">
      <c r="B8" s="85" t="s">
        <v>142</v>
      </c>
      <c r="C8" s="55" t="s">
        <v>143</v>
      </c>
      <c r="D8" s="53">
        <f t="shared" ref="D8:L8" si="0">SUM(D5:D7)</f>
        <v>13413.960000000001</v>
      </c>
      <c r="E8" s="57">
        <f t="shared" si="0"/>
        <v>18674.894999999997</v>
      </c>
      <c r="F8" s="57">
        <f t="shared" si="0"/>
        <v>30507.830000000005</v>
      </c>
      <c r="G8" s="57">
        <f t="shared" si="0"/>
        <v>10775.148999999999</v>
      </c>
      <c r="H8" s="57">
        <f t="shared" si="0"/>
        <v>5067.2150000000001</v>
      </c>
      <c r="I8" s="57">
        <f t="shared" si="0"/>
        <v>7.0000000000000001E-3</v>
      </c>
      <c r="J8" s="57">
        <f t="shared" si="0"/>
        <v>2.3999999999999994E-2</v>
      </c>
      <c r="K8" s="57">
        <f t="shared" si="0"/>
        <v>40.715999999999894</v>
      </c>
      <c r="L8" s="58">
        <f t="shared" si="0"/>
        <v>78479.795999999988</v>
      </c>
      <c r="M8" s="6"/>
    </row>
    <row r="9" spans="1:19" x14ac:dyDescent="0.15">
      <c r="B9" s="35"/>
      <c r="C9" s="91" t="s">
        <v>68</v>
      </c>
      <c r="D9" s="9"/>
      <c r="E9" s="9"/>
      <c r="F9" s="9"/>
      <c r="G9" s="9"/>
      <c r="H9" s="9"/>
      <c r="I9" s="9"/>
      <c r="J9" s="9"/>
      <c r="K9" s="9"/>
      <c r="L9" s="56"/>
      <c r="M9" s="6"/>
    </row>
    <row r="10" spans="1:19" x14ac:dyDescent="0.15">
      <c r="B10" s="42" t="s">
        <v>69</v>
      </c>
      <c r="C10" s="59" t="s">
        <v>70</v>
      </c>
      <c r="D10" s="43">
        <v>-57.637999999999998</v>
      </c>
      <c r="E10" s="43">
        <v>-792.98</v>
      </c>
      <c r="F10" s="43">
        <v>-1848.605</v>
      </c>
      <c r="G10" s="43">
        <v>0</v>
      </c>
      <c r="H10" s="43">
        <v>-4.2830000000000004</v>
      </c>
      <c r="I10" s="43">
        <v>-1.52</v>
      </c>
      <c r="J10" s="43">
        <v>0</v>
      </c>
      <c r="K10" s="43">
        <v>0</v>
      </c>
      <c r="L10" s="44">
        <f>SUM(D10:K10)</f>
        <v>-2705.0259999999998</v>
      </c>
      <c r="M10" s="6"/>
    </row>
    <row r="11" spans="1:19" x14ac:dyDescent="0.15">
      <c r="B11" s="42" t="s">
        <v>53</v>
      </c>
      <c r="C11" s="60" t="s">
        <v>71</v>
      </c>
      <c r="D11" s="43">
        <v>-9598.1200000000008</v>
      </c>
      <c r="E11" s="43">
        <v>-5635.5439999999999</v>
      </c>
      <c r="F11" s="43">
        <v>-1224.6089999999999</v>
      </c>
      <c r="G11" s="43">
        <v>-10775.148999999999</v>
      </c>
      <c r="H11" s="43">
        <v>-1255.692</v>
      </c>
      <c r="I11" s="43">
        <v>-32.948999999999998</v>
      </c>
      <c r="J11" s="43">
        <v>1737.559</v>
      </c>
      <c r="K11" s="43">
        <v>11581</v>
      </c>
      <c r="L11" s="44">
        <f>SUM(D11:K11)</f>
        <v>-15203.503999999997</v>
      </c>
      <c r="M11" s="6"/>
    </row>
    <row r="12" spans="1:19" x14ac:dyDescent="0.15">
      <c r="B12" s="42" t="s">
        <v>72</v>
      </c>
      <c r="C12" s="60" t="s">
        <v>73</v>
      </c>
      <c r="D12" s="43">
        <v>-161.39599999999999</v>
      </c>
      <c r="E12" s="43">
        <v>-301.30099999999999</v>
      </c>
      <c r="F12" s="43">
        <v>-49.649000000000001</v>
      </c>
      <c r="G12" s="43">
        <v>0</v>
      </c>
      <c r="H12" s="43">
        <v>-140.20699999999999</v>
      </c>
      <c r="I12" s="43">
        <v>-1.569</v>
      </c>
      <c r="J12" s="43">
        <v>658.74300000000005</v>
      </c>
      <c r="K12" s="43">
        <v>0</v>
      </c>
      <c r="L12" s="44">
        <f>SUM(D12:K12)</f>
        <v>4.6210000000000946</v>
      </c>
      <c r="M12" s="6"/>
    </row>
    <row r="13" spans="1:19" x14ac:dyDescent="0.15">
      <c r="B13" s="42" t="s">
        <v>74</v>
      </c>
      <c r="C13" s="60" t="s">
        <v>75</v>
      </c>
      <c r="D13" s="43"/>
      <c r="E13" s="43"/>
      <c r="F13" s="43">
        <v>-31736.460999999999</v>
      </c>
      <c r="G13" s="43"/>
      <c r="H13" s="43"/>
      <c r="I13" s="43"/>
      <c r="J13" s="43"/>
      <c r="K13" s="43"/>
      <c r="L13" s="44">
        <f>SUM(D13:K13)</f>
        <v>-31736.460999999999</v>
      </c>
      <c r="M13" s="6"/>
    </row>
    <row r="14" spans="1:19" ht="15" x14ac:dyDescent="0.2">
      <c r="B14" s="35"/>
      <c r="C14" s="55" t="s">
        <v>76</v>
      </c>
      <c r="D14" s="88">
        <f t="shared" ref="D14:L14" si="1">SUM(D10:D13)</f>
        <v>-9817.1540000000023</v>
      </c>
      <c r="E14" s="57">
        <f t="shared" si="1"/>
        <v>-6729.8249999999998</v>
      </c>
      <c r="F14" s="57">
        <f t="shared" si="1"/>
        <v>-34859.324000000001</v>
      </c>
      <c r="G14" s="57">
        <f t="shared" si="1"/>
        <v>-10775.148999999999</v>
      </c>
      <c r="H14" s="57">
        <f t="shared" si="1"/>
        <v>-1400.1819999999998</v>
      </c>
      <c r="I14" s="57">
        <f t="shared" si="1"/>
        <v>-36.038000000000004</v>
      </c>
      <c r="J14" s="57">
        <f t="shared" si="1"/>
        <v>2396.3020000000001</v>
      </c>
      <c r="K14" s="57">
        <f t="shared" si="1"/>
        <v>11581</v>
      </c>
      <c r="L14" s="58">
        <f t="shared" si="1"/>
        <v>-49640.369999999995</v>
      </c>
      <c r="M14" s="6"/>
    </row>
    <row r="15" spans="1:19" x14ac:dyDescent="0.15">
      <c r="B15" s="35"/>
      <c r="C15" s="91" t="s">
        <v>77</v>
      </c>
      <c r="D15" s="9"/>
      <c r="E15" s="9"/>
      <c r="F15" s="9"/>
      <c r="G15" s="9"/>
      <c r="H15" s="9"/>
      <c r="I15" s="9"/>
      <c r="J15" s="9"/>
      <c r="K15" s="9"/>
      <c r="L15" s="56"/>
      <c r="M15" s="6"/>
    </row>
    <row r="16" spans="1:19" x14ac:dyDescent="0.15">
      <c r="A16" s="6"/>
      <c r="B16" s="42" t="s">
        <v>78</v>
      </c>
      <c r="C16" s="61" t="s">
        <v>79</v>
      </c>
      <c r="D16" s="46">
        <v>356.55500000000001</v>
      </c>
      <c r="E16" s="46">
        <v>5159.7929999999997</v>
      </c>
      <c r="F16" s="46">
        <v>2289.2930000000001</v>
      </c>
      <c r="G16" s="46">
        <v>0</v>
      </c>
      <c r="H16" s="46">
        <v>1293.9269999999999</v>
      </c>
      <c r="I16" s="46">
        <v>0</v>
      </c>
      <c r="J16" s="46">
        <v>865.48500000000001</v>
      </c>
      <c r="K16" s="46">
        <v>2871.7420000000002</v>
      </c>
      <c r="L16" s="49">
        <f t="shared" ref="L16:L23" si="2">SUM(D16:K16)</f>
        <v>12836.795</v>
      </c>
      <c r="M16" s="6"/>
    </row>
    <row r="17" spans="1:13" x14ac:dyDescent="0.15">
      <c r="A17" s="6"/>
      <c r="B17" s="42" t="s">
        <v>80</v>
      </c>
      <c r="C17" s="62" t="s">
        <v>81</v>
      </c>
      <c r="D17" s="46">
        <v>56.924999999999997</v>
      </c>
      <c r="E17" s="46">
        <v>1751.73</v>
      </c>
      <c r="F17" s="46">
        <v>854.81</v>
      </c>
      <c r="G17" s="46">
        <v>0</v>
      </c>
      <c r="H17" s="46">
        <v>67.406000000000006</v>
      </c>
      <c r="I17" s="46">
        <v>1.2170000000000001</v>
      </c>
      <c r="J17" s="46">
        <v>254.64599999999999</v>
      </c>
      <c r="K17" s="46">
        <v>2527.3910000000001</v>
      </c>
      <c r="L17" s="49">
        <f t="shared" si="2"/>
        <v>5514.125</v>
      </c>
      <c r="M17" s="6"/>
    </row>
    <row r="18" spans="1:13" x14ac:dyDescent="0.15">
      <c r="A18" s="6"/>
      <c r="B18" s="42" t="s">
        <v>82</v>
      </c>
      <c r="C18" s="62" t="s">
        <v>83</v>
      </c>
      <c r="D18" s="46">
        <v>1896.9860000000001</v>
      </c>
      <c r="E18" s="46">
        <v>4437.1610000000001</v>
      </c>
      <c r="F18" s="46">
        <v>2016.1110000000001</v>
      </c>
      <c r="G18" s="46">
        <v>0</v>
      </c>
      <c r="H18" s="46">
        <v>721.67100000000005</v>
      </c>
      <c r="I18" s="46">
        <v>117.19199999999999</v>
      </c>
      <c r="J18" s="46">
        <v>633.58299999999997</v>
      </c>
      <c r="K18" s="46">
        <v>4088.444</v>
      </c>
      <c r="L18" s="49">
        <f t="shared" si="2"/>
        <v>13911.147999999999</v>
      </c>
      <c r="M18" s="6"/>
    </row>
    <row r="19" spans="1:13" x14ac:dyDescent="0.15">
      <c r="A19" s="6"/>
      <c r="B19" s="42" t="s">
        <v>84</v>
      </c>
      <c r="C19" s="62" t="s">
        <v>85</v>
      </c>
      <c r="D19" s="46">
        <v>44.1</v>
      </c>
      <c r="E19" s="46">
        <v>201.20599999999999</v>
      </c>
      <c r="F19" s="46">
        <v>797.37199999999996</v>
      </c>
      <c r="G19" s="46">
        <v>0</v>
      </c>
      <c r="H19" s="46">
        <v>63.085999999999999</v>
      </c>
      <c r="I19" s="46">
        <v>1E-3</v>
      </c>
      <c r="J19" s="46">
        <v>15.574</v>
      </c>
      <c r="K19" s="46">
        <v>19.386000000000003</v>
      </c>
      <c r="L19" s="49">
        <f t="shared" si="2"/>
        <v>1140.7249999999999</v>
      </c>
      <c r="M19" s="6"/>
    </row>
    <row r="20" spans="1:13" x14ac:dyDescent="0.15">
      <c r="A20" s="6"/>
      <c r="B20" s="42" t="s">
        <v>86</v>
      </c>
      <c r="C20" s="62" t="s">
        <v>87</v>
      </c>
      <c r="D20" s="46">
        <v>0.55600000000000005</v>
      </c>
      <c r="E20" s="46">
        <v>21.248999999999999</v>
      </c>
      <c r="F20" s="46">
        <v>14851.249</v>
      </c>
      <c r="G20" s="46">
        <v>0</v>
      </c>
      <c r="H20" s="46">
        <v>130.685</v>
      </c>
      <c r="I20" s="46">
        <v>0</v>
      </c>
      <c r="J20" s="46">
        <v>0</v>
      </c>
      <c r="K20" s="46">
        <v>265.97199999999998</v>
      </c>
      <c r="L20" s="49">
        <f t="shared" si="2"/>
        <v>15269.710999999999</v>
      </c>
      <c r="M20" s="6"/>
    </row>
    <row r="21" spans="1:13" x14ac:dyDescent="0.15">
      <c r="A21" s="6"/>
      <c r="B21" s="42" t="s">
        <v>88</v>
      </c>
      <c r="C21" s="63" t="s">
        <v>89</v>
      </c>
      <c r="D21" s="47">
        <f>IF((SUM(D16:D20,D22:D23)-SUM(D10:D12))&gt;D8,0,(D8-SUM(D16:D20,D22:D23)+SUM(D10:D12)))</f>
        <v>1189.2309999999979</v>
      </c>
      <c r="E21" s="47">
        <f>IF((SUM(E16:E20,E22:E23)-SUM(E10:E12))&gt;E8,0,(E8-SUM(E16:E20,E22:E23)+SUM(E10:E12)))</f>
        <v>0</v>
      </c>
      <c r="F21" s="47">
        <v>392.53200000000402</v>
      </c>
      <c r="G21" s="47">
        <f>IF((SUM(G16:G20,G22:G23)-SUM(G10:G12))&gt;G8,0,(G8-SUM(G16:G20,G22:G23)+SUM(G10:G12)))</f>
        <v>0</v>
      </c>
      <c r="H21" s="47">
        <f>IF((SUM(H16:H20,H22:H23)-SUM(H10:H12))&gt;H8,0,(H8-SUM(H16:H20,H22:H23)+SUM(H10:H12)))</f>
        <v>1390.2580000000007</v>
      </c>
      <c r="I21" s="47">
        <f>IF((SUM(I16:I20,I22:I23)-SUM(I10:I12))&gt;I8,0,(I8-SUM(I16:I20,I22:I23)+SUM(I10:I12)))</f>
        <v>0</v>
      </c>
      <c r="J21" s="47">
        <f>IF((SUM(J16:J20,J22:J23)-SUM(J10:J12))&gt;J8,0,(J8-SUM(J16:J20,J22:J23)+SUM(J10:J12)))</f>
        <v>627.03800000000001</v>
      </c>
      <c r="K21" s="47">
        <v>650</v>
      </c>
      <c r="L21" s="50">
        <f t="shared" si="2"/>
        <v>4249.0590000000029</v>
      </c>
      <c r="M21" s="6"/>
    </row>
    <row r="22" spans="1:13" x14ac:dyDescent="0.15">
      <c r="A22" s="6"/>
      <c r="B22" s="42" t="s">
        <v>104</v>
      </c>
      <c r="C22" s="62" t="s">
        <v>90</v>
      </c>
      <c r="D22" s="46">
        <v>52.453000000000003</v>
      </c>
      <c r="E22" s="46">
        <v>633.82299999999998</v>
      </c>
      <c r="F22" s="46">
        <v>4072.5079999999998</v>
      </c>
      <c r="G22" s="48"/>
      <c r="H22" s="46">
        <v>0</v>
      </c>
      <c r="I22" s="46">
        <v>0</v>
      </c>
      <c r="J22" s="46">
        <v>0</v>
      </c>
      <c r="K22" s="46">
        <v>0</v>
      </c>
      <c r="L22" s="49">
        <f t="shared" si="2"/>
        <v>4758.7839999999997</v>
      </c>
      <c r="M22" s="6"/>
    </row>
    <row r="23" spans="1:13" x14ac:dyDescent="0.15">
      <c r="A23" s="6"/>
      <c r="B23" s="42" t="s">
        <v>105</v>
      </c>
      <c r="C23" s="62" t="s">
        <v>91</v>
      </c>
      <c r="D23" s="46">
        <v>0</v>
      </c>
      <c r="E23" s="46">
        <v>0</v>
      </c>
      <c r="F23" s="46">
        <v>2111.0920000000001</v>
      </c>
      <c r="G23" s="48"/>
      <c r="H23" s="46">
        <v>0</v>
      </c>
      <c r="I23" s="46">
        <v>0</v>
      </c>
      <c r="J23" s="46">
        <v>0</v>
      </c>
      <c r="K23" s="46">
        <v>0</v>
      </c>
      <c r="L23" s="49">
        <f t="shared" si="2"/>
        <v>2111.0920000000001</v>
      </c>
      <c r="M23" s="6"/>
    </row>
    <row r="24" spans="1:13" ht="15" x14ac:dyDescent="0.2">
      <c r="A24" s="6"/>
      <c r="B24" s="85" t="s">
        <v>107</v>
      </c>
      <c r="C24" s="55" t="s">
        <v>144</v>
      </c>
      <c r="D24" s="52">
        <f t="shared" ref="D24:L24" si="3">SUM(D16:D23)</f>
        <v>3596.8059999999982</v>
      </c>
      <c r="E24" s="52">
        <f t="shared" si="3"/>
        <v>12204.962</v>
      </c>
      <c r="F24" s="52">
        <f t="shared" si="3"/>
        <v>27384.967000000001</v>
      </c>
      <c r="G24" s="52">
        <f t="shared" si="3"/>
        <v>0</v>
      </c>
      <c r="H24" s="52">
        <f t="shared" si="3"/>
        <v>3667.0330000000004</v>
      </c>
      <c r="I24" s="52">
        <f t="shared" si="3"/>
        <v>118.41</v>
      </c>
      <c r="J24" s="52">
        <f t="shared" si="3"/>
        <v>2396.326</v>
      </c>
      <c r="K24" s="52">
        <f>SUM(K16:K23)</f>
        <v>10422.934999999999</v>
      </c>
      <c r="L24" s="54">
        <f t="shared" si="3"/>
        <v>59791.438999999998</v>
      </c>
      <c r="M24" s="6"/>
    </row>
    <row r="25" spans="1:13" x14ac:dyDescent="0.15">
      <c r="A25" s="6"/>
      <c r="D25" s="10"/>
      <c r="F25" s="10"/>
      <c r="G25" s="10"/>
      <c r="H25" s="10"/>
      <c r="I25" s="10"/>
      <c r="J25" s="10"/>
      <c r="K25" s="10"/>
      <c r="L25" s="10"/>
      <c r="M25" s="6"/>
    </row>
    <row r="26" spans="1:13" x14ac:dyDescent="0.15">
      <c r="A26" s="6"/>
      <c r="D26" s="10"/>
      <c r="F26" s="10"/>
      <c r="G26" s="10"/>
      <c r="H26" s="10"/>
      <c r="I26" s="10"/>
      <c r="J26" s="10"/>
      <c r="K26" s="10"/>
      <c r="L26" s="10"/>
      <c r="M26" s="10"/>
    </row>
    <row r="27" spans="1:13" ht="15" x14ac:dyDescent="0.2">
      <c r="A27" s="6"/>
      <c r="C27" s="51" t="s">
        <v>122</v>
      </c>
      <c r="D27" s="51"/>
      <c r="E27" s="51"/>
      <c r="F27" s="10"/>
      <c r="G27" s="10"/>
      <c r="H27" s="10"/>
      <c r="I27" s="10"/>
      <c r="J27" s="10"/>
      <c r="K27" s="10"/>
      <c r="L27" s="10"/>
      <c r="M27" s="10"/>
    </row>
    <row r="28" spans="1:13" x14ac:dyDescent="0.15">
      <c r="A28" s="6"/>
      <c r="D28" s="10"/>
      <c r="F28" s="10"/>
      <c r="G28" s="10"/>
      <c r="H28" s="10"/>
      <c r="I28" s="10"/>
      <c r="J28" s="10"/>
      <c r="K28" s="10"/>
      <c r="L28" s="10"/>
      <c r="M28" s="10"/>
    </row>
    <row r="29" spans="1:13" x14ac:dyDescent="0.15">
      <c r="A29" s="6"/>
      <c r="D29" s="10"/>
      <c r="F29" s="10"/>
      <c r="G29" s="10"/>
      <c r="H29" s="10"/>
      <c r="I29" s="10"/>
      <c r="J29" s="10"/>
      <c r="K29" s="10"/>
      <c r="L29" s="10"/>
      <c r="M29" s="10"/>
    </row>
    <row r="30" spans="1:13" x14ac:dyDescent="0.15">
      <c r="A30" s="6"/>
      <c r="D30" s="10"/>
      <c r="F30" s="10"/>
      <c r="G30" s="10"/>
      <c r="H30" s="10"/>
      <c r="I30" s="10"/>
      <c r="J30" s="10"/>
      <c r="K30" s="10"/>
      <c r="L30" s="10"/>
      <c r="M30" s="10"/>
    </row>
    <row r="31" spans="1:13" x14ac:dyDescent="0.15">
      <c r="A31" s="6"/>
      <c r="D31" s="10"/>
      <c r="F31" s="10"/>
      <c r="G31" s="10"/>
      <c r="H31" s="10"/>
      <c r="I31" s="10"/>
      <c r="J31" s="10"/>
      <c r="K31" s="10"/>
      <c r="L31" s="10"/>
      <c r="M31" s="10"/>
    </row>
    <row r="32" spans="1:13" x14ac:dyDescent="0.15">
      <c r="A32" s="6"/>
      <c r="D32" s="10"/>
      <c r="F32" s="10"/>
      <c r="G32" s="10"/>
      <c r="H32" s="10"/>
      <c r="I32" s="10"/>
      <c r="J32" s="10"/>
      <c r="K32" s="10"/>
      <c r="L32" s="10"/>
      <c r="M32" s="10"/>
    </row>
    <row r="33" spans="1:13" x14ac:dyDescent="0.15">
      <c r="A33" s="6"/>
      <c r="D33" s="10"/>
      <c r="F33" s="10"/>
      <c r="G33" s="10"/>
      <c r="H33" s="10"/>
      <c r="I33" s="10"/>
      <c r="J33" s="10"/>
      <c r="K33" s="10"/>
      <c r="L33" s="10"/>
      <c r="M33" s="10"/>
    </row>
    <row r="34" spans="1:13" x14ac:dyDescent="0.15">
      <c r="A34" s="6"/>
      <c r="D34" s="10"/>
      <c r="F34" s="10"/>
      <c r="G34" s="10"/>
      <c r="H34" s="10"/>
      <c r="I34" s="10"/>
      <c r="J34" s="10"/>
      <c r="K34" s="10"/>
      <c r="L34" s="10"/>
      <c r="M34" s="10"/>
    </row>
    <row r="35" spans="1:13" x14ac:dyDescent="0.15">
      <c r="A35" s="6"/>
      <c r="D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15">
      <c r="A36" s="6"/>
      <c r="D36" s="23" t="s">
        <v>46</v>
      </c>
      <c r="F36" s="10"/>
      <c r="G36" s="28"/>
      <c r="H36" s="28"/>
      <c r="I36" s="28"/>
      <c r="J36" s="28"/>
      <c r="K36" s="28"/>
      <c r="L36" s="28"/>
      <c r="M36" s="28"/>
    </row>
    <row r="37" spans="1:13" x14ac:dyDescent="0.15">
      <c r="A37" s="6"/>
      <c r="C37" s="24" t="s">
        <v>116</v>
      </c>
      <c r="D37" s="25">
        <v>0.75</v>
      </c>
      <c r="F37" s="10"/>
      <c r="G37" s="29"/>
      <c r="H37" s="29"/>
      <c r="I37" s="29"/>
      <c r="J37" s="29"/>
      <c r="K37" s="29"/>
      <c r="L37" s="29"/>
      <c r="M37" s="29"/>
    </row>
    <row r="38" spans="1:13" x14ac:dyDescent="0.15">
      <c r="A38" s="6"/>
      <c r="C38" s="26" t="s">
        <v>117</v>
      </c>
      <c r="D38" s="27">
        <v>0.25</v>
      </c>
      <c r="F38" s="10"/>
      <c r="G38" s="29"/>
      <c r="H38" s="29"/>
      <c r="I38" s="29"/>
      <c r="J38" s="29"/>
      <c r="K38" s="29"/>
      <c r="L38" s="29"/>
      <c r="M38" s="29"/>
    </row>
    <row r="39" spans="1:13" x14ac:dyDescent="0.15">
      <c r="A39" s="6"/>
      <c r="C39" s="28"/>
      <c r="D39" s="29"/>
      <c r="F39" s="10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N14" sqref="N14"/>
    </sheetView>
  </sheetViews>
  <sheetFormatPr baseColWidth="10" defaultColWidth="8.83203125" defaultRowHeight="13" x14ac:dyDescent="0.15"/>
  <cols>
    <col min="1" max="1" width="1.83203125" customWidth="1"/>
    <col min="2" max="2" width="7.6640625" customWidth="1"/>
    <col min="3" max="3" width="6.83203125" customWidth="1"/>
    <col min="12" max="12" width="6.6640625" customWidth="1"/>
    <col min="14" max="14" width="5.5" customWidth="1"/>
  </cols>
  <sheetData>
    <row r="2" spans="2:16" ht="18" x14ac:dyDescent="0.2">
      <c r="B2" s="115" t="s">
        <v>150</v>
      </c>
      <c r="K2" s="69"/>
    </row>
    <row r="3" spans="2:16" ht="18" x14ac:dyDescent="0.2">
      <c r="B3" s="113"/>
      <c r="K3" s="69"/>
    </row>
    <row r="4" spans="2:16" ht="16" x14ac:dyDescent="0.2">
      <c r="B4" s="116" t="s">
        <v>148</v>
      </c>
    </row>
    <row r="5" spans="2:16" x14ac:dyDescent="0.15">
      <c r="B5" s="114" t="s">
        <v>149</v>
      </c>
    </row>
    <row r="14" spans="2:16" ht="16.5" customHeight="1" x14ac:dyDescent="0.2">
      <c r="B14" s="69" t="s">
        <v>151</v>
      </c>
    </row>
    <row r="16" spans="2:16" x14ac:dyDescent="0.15">
      <c r="D16" s="70" t="s">
        <v>145</v>
      </c>
      <c r="E16" s="70"/>
      <c r="F16" s="70"/>
      <c r="G16" s="70"/>
      <c r="H16" s="70"/>
      <c r="I16" s="70"/>
      <c r="J16" s="70"/>
      <c r="K16" s="70"/>
      <c r="L16" s="94"/>
      <c r="M16" s="94"/>
      <c r="N16" s="94"/>
      <c r="O16" s="94"/>
      <c r="P16" s="9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zoomScaleNormal="100" workbookViewId="0">
      <selection activeCell="I15" sqref="I15"/>
    </sheetView>
  </sheetViews>
  <sheetFormatPr baseColWidth="10" defaultColWidth="8.83203125" defaultRowHeight="13" x14ac:dyDescent="0.15"/>
  <cols>
    <col min="1" max="1" width="2" bestFit="1" customWidth="1"/>
    <col min="2" max="2" width="11.5" bestFit="1" customWidth="1"/>
    <col min="3" max="3" width="12.33203125" customWidth="1"/>
    <col min="4" max="4" width="13.33203125" customWidth="1"/>
    <col min="5" max="5" width="7.5" bestFit="1" customWidth="1"/>
    <col min="6" max="6" width="8.33203125" bestFit="1" customWidth="1"/>
    <col min="7" max="7" width="13.1640625" bestFit="1" customWidth="1"/>
    <col min="8" max="8" width="8.5" bestFit="1" customWidth="1"/>
    <col min="9" max="9" width="13.6640625" bestFit="1" customWidth="1"/>
    <col min="10" max="10" width="2" customWidth="1"/>
    <col min="11" max="11" width="11.6640625" bestFit="1" customWidth="1"/>
    <col min="12" max="12" width="7.1640625" customWidth="1"/>
    <col min="13" max="13" width="11.5" bestFit="1" customWidth="1"/>
    <col min="14" max="14" width="34.33203125" customWidth="1"/>
    <col min="15" max="15" width="6.1640625" customWidth="1"/>
    <col min="16" max="16" width="11.5" customWidth="1"/>
    <col min="17" max="17" width="12.83203125" bestFit="1" customWidth="1"/>
    <col min="18" max="18" width="13.33203125" bestFit="1" customWidth="1"/>
    <col min="19" max="19" width="8" bestFit="1" customWidth="1"/>
  </cols>
  <sheetData>
    <row r="1" spans="1:20" ht="32" x14ac:dyDescent="0.2">
      <c r="B1" s="30" t="s">
        <v>93</v>
      </c>
      <c r="C1" s="30" t="s">
        <v>94</v>
      </c>
      <c r="D1" s="30" t="s">
        <v>95</v>
      </c>
      <c r="E1" s="30" t="s">
        <v>97</v>
      </c>
      <c r="F1" s="19"/>
      <c r="G1" s="30" t="s">
        <v>98</v>
      </c>
    </row>
    <row r="2" spans="1:20" ht="16" x14ac:dyDescent="0.2">
      <c r="B2" s="14"/>
      <c r="C2" s="14" t="str">
        <f>EnergyBalance!D2</f>
        <v>COA</v>
      </c>
      <c r="D2" s="14" t="str">
        <f>EnergyBalance!D3</f>
        <v>Solid Fuels</v>
      </c>
      <c r="E2" s="14" t="str">
        <f>EnergyBalance!R2</f>
        <v>PJ</v>
      </c>
      <c r="G2" s="14" t="str">
        <f>EnergyBalance!Q2</f>
        <v>M€2005</v>
      </c>
      <c r="K2" s="102" t="s">
        <v>14</v>
      </c>
      <c r="L2" s="102"/>
      <c r="M2" s="103"/>
      <c r="N2" s="103"/>
      <c r="O2" s="103"/>
      <c r="P2" s="103"/>
      <c r="Q2" s="103"/>
      <c r="R2" s="103"/>
      <c r="S2" s="103"/>
    </row>
    <row r="3" spans="1:20" x14ac:dyDescent="0.15">
      <c r="K3" s="104" t="s">
        <v>7</v>
      </c>
      <c r="L3" s="105" t="s">
        <v>30</v>
      </c>
      <c r="M3" s="104" t="s">
        <v>0</v>
      </c>
      <c r="N3" s="104" t="s">
        <v>3</v>
      </c>
      <c r="O3" s="104" t="s">
        <v>4</v>
      </c>
      <c r="P3" s="104" t="s">
        <v>8</v>
      </c>
      <c r="Q3" s="104" t="s">
        <v>9</v>
      </c>
      <c r="R3" s="104" t="s">
        <v>10</v>
      </c>
      <c r="S3" s="104" t="s">
        <v>12</v>
      </c>
    </row>
    <row r="4" spans="1:20" ht="25" thickBot="1" x14ac:dyDescent="0.2">
      <c r="C4" s="1"/>
      <c r="K4" s="106" t="s">
        <v>39</v>
      </c>
      <c r="L4" s="106" t="s">
        <v>31</v>
      </c>
      <c r="M4" s="106" t="s">
        <v>26</v>
      </c>
      <c r="N4" s="106" t="s">
        <v>27</v>
      </c>
      <c r="O4" s="106" t="s">
        <v>4</v>
      </c>
      <c r="P4" s="106" t="s">
        <v>42</v>
      </c>
      <c r="Q4" s="106" t="s">
        <v>43</v>
      </c>
      <c r="R4" s="106" t="s">
        <v>28</v>
      </c>
      <c r="S4" s="106" t="s">
        <v>29</v>
      </c>
    </row>
    <row r="5" spans="1:20" x14ac:dyDescent="0.15">
      <c r="K5" s="107" t="s">
        <v>92</v>
      </c>
      <c r="L5" s="108"/>
      <c r="M5" s="107" t="str">
        <f>C2</f>
        <v>COA</v>
      </c>
      <c r="N5" s="107" t="str">
        <f>D2</f>
        <v>Solid Fuels</v>
      </c>
      <c r="O5" s="107" t="str">
        <f>$E$2</f>
        <v>PJ</v>
      </c>
      <c r="P5" s="107"/>
      <c r="Q5" s="107"/>
      <c r="R5" s="107"/>
      <c r="S5" s="107"/>
    </row>
    <row r="6" spans="1:20" x14ac:dyDescent="0.15">
      <c r="K6" s="12"/>
      <c r="L6" s="6"/>
      <c r="M6" s="12"/>
      <c r="N6" s="12"/>
      <c r="O6" s="12"/>
      <c r="P6" s="12"/>
      <c r="Q6" s="12"/>
      <c r="R6" s="12"/>
      <c r="S6" s="12"/>
    </row>
    <row r="7" spans="1:20" x14ac:dyDescent="0.15">
      <c r="F7" s="5" t="s">
        <v>13</v>
      </c>
      <c r="H7" s="5"/>
      <c r="K7" s="102" t="s">
        <v>15</v>
      </c>
      <c r="L7" s="102"/>
      <c r="M7" s="109"/>
      <c r="N7" s="109"/>
      <c r="O7" s="109"/>
      <c r="P7" s="109"/>
      <c r="Q7" s="109"/>
      <c r="R7" s="109"/>
      <c r="S7" s="109"/>
    </row>
    <row r="8" spans="1:20" x14ac:dyDescent="0.15">
      <c r="B8" s="2" t="s">
        <v>1</v>
      </c>
      <c r="C8" s="18" t="s">
        <v>5</v>
      </c>
      <c r="D8" s="2" t="s">
        <v>6</v>
      </c>
      <c r="E8" s="2" t="s">
        <v>118</v>
      </c>
      <c r="F8" s="2" t="s">
        <v>8</v>
      </c>
      <c r="G8" s="101" t="s">
        <v>36</v>
      </c>
      <c r="H8" s="101" t="s">
        <v>37</v>
      </c>
      <c r="I8" s="101" t="s">
        <v>99</v>
      </c>
      <c r="K8" s="104" t="s">
        <v>11</v>
      </c>
      <c r="L8" s="105" t="s">
        <v>30</v>
      </c>
      <c r="M8" s="104" t="s">
        <v>1</v>
      </c>
      <c r="N8" s="104" t="s">
        <v>2</v>
      </c>
      <c r="O8" s="104" t="s">
        <v>16</v>
      </c>
      <c r="P8" s="104" t="s">
        <v>17</v>
      </c>
      <c r="Q8" s="104" t="s">
        <v>18</v>
      </c>
      <c r="R8" s="104" t="s">
        <v>19</v>
      </c>
      <c r="S8" s="104" t="s">
        <v>20</v>
      </c>
    </row>
    <row r="9" spans="1:20" ht="25" thickBot="1" x14ac:dyDescent="0.2">
      <c r="B9" s="16" t="s">
        <v>41</v>
      </c>
      <c r="C9" s="16" t="s">
        <v>32</v>
      </c>
      <c r="D9" s="16" t="s">
        <v>33</v>
      </c>
      <c r="E9" s="16"/>
      <c r="F9" s="16"/>
      <c r="G9" s="16" t="s">
        <v>38</v>
      </c>
      <c r="H9" s="16" t="s">
        <v>110</v>
      </c>
      <c r="I9" s="16" t="s">
        <v>109</v>
      </c>
      <c r="K9" s="106" t="s">
        <v>40</v>
      </c>
      <c r="L9" s="106" t="s">
        <v>31</v>
      </c>
      <c r="M9" s="106" t="s">
        <v>21</v>
      </c>
      <c r="N9" s="106" t="s">
        <v>22</v>
      </c>
      <c r="O9" s="106" t="s">
        <v>23</v>
      </c>
      <c r="P9" s="106" t="s">
        <v>24</v>
      </c>
      <c r="Q9" s="106" t="s">
        <v>45</v>
      </c>
      <c r="R9" s="106" t="s">
        <v>44</v>
      </c>
      <c r="S9" s="106" t="s">
        <v>25</v>
      </c>
    </row>
    <row r="10" spans="1:20" ht="14" thickBot="1" x14ac:dyDescent="0.2">
      <c r="B10" s="16" t="s">
        <v>108</v>
      </c>
      <c r="C10" s="15"/>
      <c r="D10" s="15"/>
      <c r="E10" s="15"/>
      <c r="F10" s="15"/>
      <c r="G10" s="15" t="str">
        <f>$E$2</f>
        <v>PJ</v>
      </c>
      <c r="H10" s="15" t="str">
        <f>$G$2&amp;"/"&amp;$E$2</f>
        <v>M€2005/PJ</v>
      </c>
      <c r="I10" s="15" t="str">
        <f>$E$2</f>
        <v>PJ</v>
      </c>
      <c r="K10" s="106" t="s">
        <v>101</v>
      </c>
      <c r="L10" s="110"/>
      <c r="M10" s="110"/>
      <c r="N10" s="110"/>
      <c r="O10" s="110"/>
      <c r="P10" s="110"/>
      <c r="Q10" s="110"/>
      <c r="R10" s="110"/>
      <c r="S10" s="110"/>
    </row>
    <row r="11" spans="1:20" ht="14" x14ac:dyDescent="0.15">
      <c r="B11" s="12" t="str">
        <f>M11</f>
        <v>MINCOA1</v>
      </c>
      <c r="C11" s="12"/>
      <c r="D11" s="12" t="str">
        <f>$M$5</f>
        <v>COA</v>
      </c>
      <c r="E11" s="12">
        <v>2005</v>
      </c>
      <c r="F11" s="12" t="s">
        <v>125</v>
      </c>
      <c r="G11" s="67">
        <v>80000</v>
      </c>
      <c r="H11" s="68">
        <v>2</v>
      </c>
      <c r="I11" s="64">
        <f>EnergyBalance!$D$5*EnergyBalance!D37</f>
        <v>6073.7685000000001</v>
      </c>
      <c r="J11" s="6"/>
      <c r="K11" s="107" t="str">
        <f>EnergyBalance!$B$5</f>
        <v>MIN</v>
      </c>
      <c r="L11" s="108"/>
      <c r="M11" s="108" t="str">
        <f>$K$11&amp;$C$2&amp;1</f>
        <v>MINCOA1</v>
      </c>
      <c r="N11" s="111" t="str">
        <f>"Domestic Supply of "&amp;$D$2&amp; " Step "&amp;RIGHT(M11,1)</f>
        <v>Domestic Supply of Solid Fuels Step 1</v>
      </c>
      <c r="O11" s="108" t="str">
        <f>$E$2</f>
        <v>PJ</v>
      </c>
      <c r="P11" s="108"/>
      <c r="Q11" s="108"/>
      <c r="R11" s="108"/>
      <c r="S11" s="108"/>
    </row>
    <row r="12" spans="1:20" s="6" customFormat="1" ht="14" x14ac:dyDescent="0.15">
      <c r="A12"/>
      <c r="B12" s="12"/>
      <c r="C12" s="12"/>
      <c r="D12" s="12"/>
      <c r="E12" s="12">
        <v>2006</v>
      </c>
      <c r="F12" s="12" t="s">
        <v>125</v>
      </c>
      <c r="G12" s="98"/>
      <c r="H12" s="99"/>
      <c r="I12" s="100">
        <f>I11</f>
        <v>6073.7685000000001</v>
      </c>
      <c r="K12" s="108"/>
      <c r="L12" s="108"/>
      <c r="M12" s="108" t="str">
        <f>$K$11&amp;$C$2&amp;2</f>
        <v>MINCOA2</v>
      </c>
      <c r="N12" s="111" t="str">
        <f>"Domestic Supply of "&amp;$D$2&amp; " Step "&amp;RIGHT(M12,1)</f>
        <v>Domestic Supply of Solid Fuels Step 2</v>
      </c>
      <c r="O12" s="108" t="str">
        <f>$E$2</f>
        <v>PJ</v>
      </c>
      <c r="P12" s="108"/>
      <c r="Q12" s="108"/>
      <c r="R12" s="108"/>
      <c r="S12" s="108"/>
    </row>
    <row r="13" spans="1:20" s="6" customFormat="1" ht="14" x14ac:dyDescent="0.15">
      <c r="B13" s="12" t="str">
        <f>M12</f>
        <v>MINCOA2</v>
      </c>
      <c r="C13" s="12"/>
      <c r="D13" s="12" t="str">
        <f>$M$5</f>
        <v>COA</v>
      </c>
      <c r="E13" s="12">
        <v>2005</v>
      </c>
      <c r="F13" s="12" t="s">
        <v>125</v>
      </c>
      <c r="G13" s="67">
        <v>160000</v>
      </c>
      <c r="H13" s="68">
        <v>2.5</v>
      </c>
      <c r="I13" s="64">
        <f>EnergyBalance!$D$5*EnergyBalance!D38</f>
        <v>2024.5895</v>
      </c>
      <c r="K13" s="108"/>
      <c r="L13" s="108"/>
      <c r="M13" s="108" t="str">
        <f>$K$11&amp;$C$2&amp;3</f>
        <v>MINCOA3</v>
      </c>
      <c r="N13" s="111" t="str">
        <f>"Domestic Supply of "&amp;$D$2&amp; " Step "&amp;RIGHT(M13,1)</f>
        <v>Domestic Supply of Solid Fuels Step 3</v>
      </c>
      <c r="O13" s="108" t="str">
        <f>$E$2</f>
        <v>PJ</v>
      </c>
      <c r="P13" s="108"/>
      <c r="Q13" s="108"/>
      <c r="R13" s="108"/>
      <c r="S13" s="108"/>
    </row>
    <row r="14" spans="1:20" s="6" customFormat="1" ht="14" x14ac:dyDescent="0.15">
      <c r="B14" s="12"/>
      <c r="C14" s="12"/>
      <c r="D14" s="12"/>
      <c r="E14" s="12">
        <v>2006</v>
      </c>
      <c r="F14" s="12" t="s">
        <v>125</v>
      </c>
      <c r="G14" s="98"/>
      <c r="H14" s="99"/>
      <c r="I14" s="100">
        <f>I13</f>
        <v>2024.5895</v>
      </c>
      <c r="K14" s="108" t="str">
        <f>EnergyBalance!$B$6</f>
        <v>IMP</v>
      </c>
      <c r="L14" s="108"/>
      <c r="M14" s="108" t="str">
        <f>$K$14&amp;$C$2&amp;1</f>
        <v>IMPCOA1</v>
      </c>
      <c r="N14" s="111" t="str">
        <f>"Import of "&amp;$D$2&amp; " Step "&amp;RIGHT(M14,1)</f>
        <v>Import of Solid Fuels Step 1</v>
      </c>
      <c r="O14" s="108" t="str">
        <f>$E$2</f>
        <v>PJ</v>
      </c>
      <c r="P14" s="108"/>
      <c r="Q14" s="108"/>
      <c r="R14" s="108"/>
      <c r="S14" s="108"/>
    </row>
    <row r="15" spans="1:20" ht="14" x14ac:dyDescent="0.15">
      <c r="A15" s="6"/>
      <c r="B15" s="12" t="str">
        <f>M13</f>
        <v>MINCOA3</v>
      </c>
      <c r="C15" s="12"/>
      <c r="D15" s="12" t="str">
        <f>$M$5</f>
        <v>COA</v>
      </c>
      <c r="E15" s="12"/>
      <c r="F15" s="12"/>
      <c r="G15" s="67">
        <v>320000</v>
      </c>
      <c r="H15" s="68">
        <v>3</v>
      </c>
      <c r="I15" s="100"/>
      <c r="J15" s="6"/>
      <c r="K15" s="108" t="str">
        <f>EnergyBalance!B7</f>
        <v>EXP</v>
      </c>
      <c r="L15" s="108"/>
      <c r="M15" s="108" t="str">
        <f>$K$15&amp;$C$2&amp;1</f>
        <v>EXPCOA1</v>
      </c>
      <c r="N15" s="111" t="str">
        <f>"Export of "&amp;$D$2&amp; " Step "&amp;RIGHT(M15,1)</f>
        <v>Export of Solid Fuels Step 1</v>
      </c>
      <c r="O15" s="108" t="str">
        <f>$E$2</f>
        <v>PJ</v>
      </c>
      <c r="P15" s="108"/>
      <c r="Q15" s="108"/>
      <c r="R15" s="108"/>
      <c r="S15" s="108"/>
      <c r="T15" s="6"/>
    </row>
    <row r="16" spans="1:20" x14ac:dyDescent="0.15">
      <c r="A16" s="6"/>
      <c r="B16" s="12" t="str">
        <f>M14</f>
        <v>IMPCOA1</v>
      </c>
      <c r="C16" s="12"/>
      <c r="D16" s="12" t="str">
        <f>$M$5</f>
        <v>COA</v>
      </c>
      <c r="E16" s="12"/>
      <c r="F16" s="12"/>
      <c r="G16" s="11"/>
      <c r="H16" s="68">
        <v>2.75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20" x14ac:dyDescent="0.15">
      <c r="B17" s="12" t="str">
        <f>M15</f>
        <v>EXPCOA1</v>
      </c>
      <c r="C17" s="12" t="str">
        <f>$M$5</f>
        <v>COA</v>
      </c>
      <c r="D17" s="12"/>
      <c r="E17" s="12">
        <v>2005</v>
      </c>
      <c r="F17" s="12" t="s">
        <v>125</v>
      </c>
      <c r="H17" s="68">
        <v>2.75</v>
      </c>
      <c r="I17" s="65">
        <f>-EnergyBalance!D7</f>
        <v>1147.069</v>
      </c>
      <c r="K17" s="6"/>
      <c r="L17" s="6"/>
      <c r="M17" s="6"/>
      <c r="N17" s="6"/>
      <c r="O17" s="6"/>
      <c r="P17" s="6"/>
      <c r="Q17" s="6"/>
      <c r="R17" s="6"/>
      <c r="S17" s="6"/>
    </row>
    <row r="18" spans="1:20" s="6" customFormat="1" x14ac:dyDescent="0.15">
      <c r="A18"/>
      <c r="B18" s="12"/>
      <c r="C18" s="12"/>
      <c r="E18" s="12">
        <v>2006</v>
      </c>
      <c r="F18" s="12" t="s">
        <v>125</v>
      </c>
      <c r="G18" s="11"/>
      <c r="H18"/>
      <c r="I18" s="100">
        <f>I17</f>
        <v>1147.069</v>
      </c>
      <c r="J18"/>
      <c r="T18"/>
    </row>
    <row r="19" spans="1:20" s="6" customFormat="1" x14ac:dyDescent="0.15">
      <c r="A19"/>
      <c r="E19"/>
      <c r="F19"/>
      <c r="G19"/>
      <c r="H19"/>
      <c r="I19"/>
      <c r="J19"/>
    </row>
    <row r="20" spans="1:20" s="6" customFormat="1" x14ac:dyDescent="0.15">
      <c r="B20"/>
      <c r="C20"/>
      <c r="D20"/>
      <c r="E20"/>
      <c r="F20"/>
      <c r="G20"/>
      <c r="H20"/>
      <c r="I20"/>
    </row>
    <row r="21" spans="1:20" s="6" customFormat="1" x14ac:dyDescent="0.15">
      <c r="B21"/>
      <c r="C21"/>
      <c r="D21"/>
      <c r="E21"/>
      <c r="F21"/>
      <c r="G21"/>
      <c r="H21"/>
      <c r="I21"/>
    </row>
    <row r="22" spans="1:20" x14ac:dyDescent="0.15">
      <c r="A22" s="6"/>
      <c r="B22" s="67"/>
      <c r="C22" s="1" t="s">
        <v>123</v>
      </c>
      <c r="J22" s="6"/>
      <c r="T22" s="6"/>
    </row>
    <row r="23" spans="1:20" x14ac:dyDescent="0.15">
      <c r="A23" s="6"/>
      <c r="B23" s="66"/>
      <c r="C23" s="1" t="s">
        <v>124</v>
      </c>
      <c r="J23" s="6"/>
    </row>
    <row r="24" spans="1:20" x14ac:dyDescent="0.15">
      <c r="J24" s="6"/>
    </row>
    <row r="25" spans="1:20" s="1" customFormat="1" x14ac:dyDescent="0.15">
      <c r="A25"/>
      <c r="B25"/>
      <c r="C25"/>
      <c r="D25"/>
      <c r="E25"/>
      <c r="F25"/>
      <c r="G25"/>
      <c r="H25"/>
      <c r="I25"/>
      <c r="J25" s="6"/>
      <c r="K25"/>
      <c r="L25"/>
      <c r="M25"/>
      <c r="N25"/>
      <c r="O25"/>
      <c r="P25"/>
      <c r="Q25"/>
      <c r="R25"/>
      <c r="S25"/>
      <c r="T25"/>
    </row>
    <row r="26" spans="1:20" x14ac:dyDescent="0.15">
      <c r="J26" s="6"/>
      <c r="T26" s="1"/>
    </row>
    <row r="27" spans="1:20" x14ac:dyDescent="0.15">
      <c r="A27" s="1"/>
    </row>
    <row r="28" spans="1:20" s="6" customFormat="1" x14ac:dyDescent="0.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6" customFormat="1" x14ac:dyDescent="0.1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6" customFormat="1" x14ac:dyDescent="0.15">
      <c r="B31"/>
      <c r="C31"/>
      <c r="D31"/>
      <c r="E31"/>
      <c r="F31"/>
      <c r="G31"/>
      <c r="H31"/>
      <c r="I31"/>
      <c r="J31"/>
    </row>
    <row r="32" spans="1:20" s="6" customFormat="1" x14ac:dyDescent="0.15">
      <c r="B32"/>
      <c r="C32"/>
      <c r="D32"/>
      <c r="E32"/>
      <c r="F32"/>
      <c r="G32"/>
      <c r="H32"/>
      <c r="I32"/>
      <c r="J32"/>
    </row>
    <row r="33" spans="1:20" s="6" customFormat="1" x14ac:dyDescent="0.15">
      <c r="B33"/>
      <c r="C33"/>
      <c r="D33"/>
      <c r="E33"/>
      <c r="F33"/>
      <c r="G33"/>
      <c r="H33"/>
      <c r="I33"/>
      <c r="J33"/>
    </row>
    <row r="34" spans="1:20" s="6" customFormat="1" x14ac:dyDescent="0.1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15">
      <c r="A35" s="6"/>
      <c r="T35" s="6"/>
    </row>
    <row r="36" spans="1:20" x14ac:dyDescent="0.15">
      <c r="A36" s="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8"/>
  <sheetViews>
    <sheetView zoomScaleNormal="100" workbookViewId="0">
      <selection activeCell="J13" sqref="J13"/>
    </sheetView>
  </sheetViews>
  <sheetFormatPr baseColWidth="10" defaultColWidth="8.83203125" defaultRowHeight="13" x14ac:dyDescent="0.15"/>
  <cols>
    <col min="1" max="1" width="3" customWidth="1"/>
    <col min="2" max="2" width="12.1640625" bestFit="1" customWidth="1"/>
    <col min="3" max="3" width="15" customWidth="1"/>
    <col min="4" max="4" width="13.83203125" bestFit="1" customWidth="1"/>
    <col min="5" max="5" width="12.33203125" bestFit="1" customWidth="1"/>
    <col min="6" max="6" width="12.1640625" bestFit="1" customWidth="1"/>
    <col min="7" max="7" width="7.5" bestFit="1" customWidth="1"/>
    <col min="8" max="9" width="9.33203125" bestFit="1" customWidth="1"/>
    <col min="10" max="10" width="8" bestFit="1" customWidth="1"/>
    <col min="11" max="11" width="2.6640625" customWidth="1"/>
    <col min="12" max="12" width="12.6640625" bestFit="1" customWidth="1"/>
    <col min="13" max="13" width="7.1640625" customWidth="1"/>
    <col min="14" max="14" width="11.5" bestFit="1" customWidth="1"/>
    <col min="15" max="15" width="42.5" bestFit="1" customWidth="1"/>
    <col min="16" max="16" width="6.83203125" customWidth="1"/>
    <col min="17" max="17" width="11.6640625" customWidth="1"/>
    <col min="18" max="18" width="13.5" customWidth="1"/>
    <col min="19" max="19" width="13.83203125" customWidth="1"/>
    <col min="20" max="20" width="8.5" customWidth="1"/>
  </cols>
  <sheetData>
    <row r="1" spans="2:20" ht="15" x14ac:dyDescent="0.2">
      <c r="B1" s="13" t="s">
        <v>93</v>
      </c>
      <c r="C1" s="13" t="s">
        <v>95</v>
      </c>
      <c r="D1" s="13" t="s">
        <v>126</v>
      </c>
      <c r="E1" s="13" t="s">
        <v>97</v>
      </c>
      <c r="F1" s="13" t="s">
        <v>98</v>
      </c>
      <c r="H1" s="13" t="s">
        <v>127</v>
      </c>
    </row>
    <row r="2" spans="2:20" ht="34" x14ac:dyDescent="0.2">
      <c r="B2" s="14" t="str">
        <f>EnergyBalance!B8</f>
        <v>TPS</v>
      </c>
      <c r="C2" s="72" t="str">
        <f>EnergyBalance!C8</f>
        <v>Total Primary Supply</v>
      </c>
      <c r="D2" s="72" t="str">
        <f>"Demand Technology"</f>
        <v>Demand Technology</v>
      </c>
      <c r="E2" s="14" t="str">
        <f>EnergyBalance!R2</f>
        <v>PJ</v>
      </c>
      <c r="F2" s="14" t="str">
        <f>EnergyBalance!Q2</f>
        <v>M€2005</v>
      </c>
      <c r="H2" s="14" t="s">
        <v>128</v>
      </c>
      <c r="L2" s="102" t="s">
        <v>14</v>
      </c>
      <c r="M2" s="102"/>
      <c r="N2" s="103"/>
      <c r="O2" s="103"/>
      <c r="P2" s="103"/>
      <c r="Q2" s="103"/>
      <c r="R2" s="103"/>
      <c r="S2" s="103"/>
      <c r="T2" s="103"/>
    </row>
    <row r="3" spans="2:20" x14ac:dyDescent="0.15">
      <c r="L3" s="104" t="s">
        <v>7</v>
      </c>
      <c r="M3" s="105" t="s">
        <v>30</v>
      </c>
      <c r="N3" s="104" t="s">
        <v>0</v>
      </c>
      <c r="O3" s="104" t="s">
        <v>3</v>
      </c>
      <c r="P3" s="104" t="s">
        <v>4</v>
      </c>
      <c r="Q3" s="104" t="s">
        <v>8</v>
      </c>
      <c r="R3" s="104" t="s">
        <v>9</v>
      </c>
      <c r="S3" s="104" t="s">
        <v>10</v>
      </c>
      <c r="T3" s="104" t="s">
        <v>12</v>
      </c>
    </row>
    <row r="4" spans="2:20" s="6" customFormat="1" ht="26" thickBot="1" x14ac:dyDescent="0.25">
      <c r="B4" s="73"/>
      <c r="C4" s="73"/>
      <c r="D4" s="73"/>
      <c r="E4" s="73"/>
      <c r="F4" s="73"/>
      <c r="L4" s="106" t="s">
        <v>39</v>
      </c>
      <c r="M4" s="106" t="s">
        <v>31</v>
      </c>
      <c r="N4" s="106" t="s">
        <v>26</v>
      </c>
      <c r="O4" s="106" t="s">
        <v>27</v>
      </c>
      <c r="P4" s="106" t="s">
        <v>4</v>
      </c>
      <c r="Q4" s="106" t="s">
        <v>42</v>
      </c>
      <c r="R4" s="106" t="s">
        <v>43</v>
      </c>
      <c r="S4" s="106" t="s">
        <v>28</v>
      </c>
      <c r="T4" s="106" t="s">
        <v>29</v>
      </c>
    </row>
    <row r="5" spans="2:20" s="6" customFormat="1" ht="16" x14ac:dyDescent="0.2">
      <c r="B5" s="73"/>
      <c r="C5" s="73"/>
      <c r="D5" s="73"/>
      <c r="E5" s="73"/>
      <c r="F5" s="73"/>
      <c r="L5" s="107" t="s">
        <v>103</v>
      </c>
      <c r="M5" s="108"/>
      <c r="N5" s="107" t="str">
        <f>B2&amp;EnergyBalance!D2</f>
        <v>TPSCOA</v>
      </c>
      <c r="O5" s="107" t="str">
        <f>LEFT($D$2,6)&amp;" "&amp;$C$2&amp;" - "&amp;EnergyBalance!D2</f>
        <v>Demand Total Primary Supply - COA</v>
      </c>
      <c r="P5" s="107" t="str">
        <f>$E$2</f>
        <v>PJ</v>
      </c>
      <c r="Q5" s="107"/>
      <c r="R5" s="107"/>
      <c r="S5" s="107"/>
      <c r="T5" s="107"/>
    </row>
    <row r="8" spans="2:20" x14ac:dyDescent="0.15">
      <c r="D8" s="5" t="s">
        <v>13</v>
      </c>
      <c r="E8" s="5"/>
      <c r="F8" s="5"/>
      <c r="H8" s="5"/>
      <c r="I8" s="74"/>
      <c r="J8" s="75"/>
      <c r="L8" s="102" t="s">
        <v>15</v>
      </c>
      <c r="M8" s="102"/>
      <c r="N8" s="109"/>
      <c r="O8" s="109"/>
      <c r="P8" s="109"/>
      <c r="Q8" s="109"/>
      <c r="R8" s="109"/>
      <c r="S8" s="109"/>
      <c r="T8" s="109"/>
    </row>
    <row r="9" spans="2:20" ht="14" x14ac:dyDescent="0.15">
      <c r="B9" s="77" t="s">
        <v>1</v>
      </c>
      <c r="C9" s="77" t="s">
        <v>5</v>
      </c>
      <c r="D9" s="77" t="s">
        <v>6</v>
      </c>
      <c r="E9" s="93" t="s">
        <v>129</v>
      </c>
      <c r="F9" s="77" t="s">
        <v>130</v>
      </c>
      <c r="G9" s="77" t="s">
        <v>131</v>
      </c>
      <c r="H9" s="77" t="s">
        <v>132</v>
      </c>
      <c r="I9" s="77" t="s">
        <v>133</v>
      </c>
      <c r="J9" s="93" t="s">
        <v>134</v>
      </c>
      <c r="L9" s="104" t="s">
        <v>11</v>
      </c>
      <c r="M9" s="105" t="s">
        <v>30</v>
      </c>
      <c r="N9" s="104" t="s">
        <v>1</v>
      </c>
      <c r="O9" s="104" t="s">
        <v>2</v>
      </c>
      <c r="P9" s="104" t="s">
        <v>16</v>
      </c>
      <c r="Q9" s="104" t="s">
        <v>17</v>
      </c>
      <c r="R9" s="104" t="s">
        <v>18</v>
      </c>
      <c r="S9" s="104" t="s">
        <v>19</v>
      </c>
      <c r="T9" s="104" t="s">
        <v>20</v>
      </c>
    </row>
    <row r="10" spans="2:20" ht="25" thickBot="1" x14ac:dyDescent="0.2">
      <c r="B10" s="17" t="s">
        <v>41</v>
      </c>
      <c r="C10" s="17" t="s">
        <v>32</v>
      </c>
      <c r="D10" s="17" t="s">
        <v>33</v>
      </c>
      <c r="E10" s="17" t="s">
        <v>135</v>
      </c>
      <c r="F10" s="17" t="s">
        <v>136</v>
      </c>
      <c r="G10" s="92" t="s">
        <v>137</v>
      </c>
      <c r="H10" s="17" t="s">
        <v>138</v>
      </c>
      <c r="I10" s="17" t="s">
        <v>139</v>
      </c>
      <c r="J10" s="17" t="s">
        <v>146</v>
      </c>
      <c r="L10" s="106" t="s">
        <v>40</v>
      </c>
      <c r="M10" s="106" t="s">
        <v>31</v>
      </c>
      <c r="N10" s="106" t="s">
        <v>21</v>
      </c>
      <c r="O10" s="106" t="s">
        <v>22</v>
      </c>
      <c r="P10" s="106" t="s">
        <v>23</v>
      </c>
      <c r="Q10" s="106" t="s">
        <v>24</v>
      </c>
      <c r="R10" s="106" t="s">
        <v>45</v>
      </c>
      <c r="S10" s="106" t="s">
        <v>44</v>
      </c>
      <c r="T10" s="106" t="s">
        <v>25</v>
      </c>
    </row>
    <row r="11" spans="2:20" ht="14" thickBot="1" x14ac:dyDescent="0.2">
      <c r="B11" s="16" t="s">
        <v>108</v>
      </c>
      <c r="C11" s="16"/>
      <c r="D11" s="16"/>
      <c r="E11" s="15" t="str">
        <f>E2&amp;"a"</f>
        <v>PJa</v>
      </c>
      <c r="F11" s="15"/>
      <c r="G11" s="78"/>
      <c r="H11" s="15" t="str">
        <f>$F$2&amp;"/"&amp;$E$2</f>
        <v>M€2005/PJ</v>
      </c>
      <c r="I11" s="15" t="str">
        <f>$F$2&amp;"/"&amp;$E$2&amp;"a"</f>
        <v>M€2005/PJa</v>
      </c>
      <c r="J11" s="15" t="s">
        <v>140</v>
      </c>
      <c r="L11" s="106" t="s">
        <v>101</v>
      </c>
      <c r="M11" s="106"/>
      <c r="N11" s="106"/>
      <c r="O11" s="106"/>
      <c r="P11" s="106"/>
      <c r="Q11" s="106"/>
      <c r="R11" s="106"/>
      <c r="S11" s="106"/>
      <c r="T11" s="106"/>
    </row>
    <row r="12" spans="2:20" x14ac:dyDescent="0.15">
      <c r="B12" t="str">
        <f>N12</f>
        <v>DTPSCOA</v>
      </c>
      <c r="C12" t="str">
        <f>RIGHT(B12,3)</f>
        <v>COA</v>
      </c>
      <c r="D12" t="str">
        <f>$N$5</f>
        <v>TPSCOA</v>
      </c>
      <c r="E12" s="6"/>
      <c r="F12" s="79">
        <v>1</v>
      </c>
      <c r="G12" s="79">
        <v>0.95</v>
      </c>
      <c r="H12" s="45">
        <v>10</v>
      </c>
      <c r="I12" s="79">
        <f>H12*0.02</f>
        <v>0.2</v>
      </c>
      <c r="J12" s="45">
        <v>20</v>
      </c>
      <c r="L12" s="107" t="s">
        <v>141</v>
      </c>
      <c r="M12" s="108"/>
      <c r="N12" s="108" t="str">
        <f>LEFT(L12,1)&amp;B2&amp;RIGHT(O12,3)</f>
        <v>DTPSCOA</v>
      </c>
      <c r="O12" s="112" t="str">
        <f>$D$2&amp;" "&amp;$C$2&amp;" - "&amp;EnergyBalance!D2</f>
        <v>Demand Technology Total Primary Supply - COA</v>
      </c>
      <c r="P12" s="108" t="str">
        <f>$E$2</f>
        <v>PJ</v>
      </c>
      <c r="Q12" s="108" t="str">
        <f>$E$2&amp;"a"</f>
        <v>PJa</v>
      </c>
      <c r="R12" s="108"/>
      <c r="S12" s="108"/>
      <c r="T12" s="108"/>
    </row>
    <row r="13" spans="2:20" x14ac:dyDescent="0.15">
      <c r="D13" s="6"/>
      <c r="E13" s="83"/>
      <c r="F13" s="84"/>
      <c r="G13" s="84"/>
      <c r="H13" s="6"/>
      <c r="I13" s="84"/>
      <c r="J13" s="6"/>
      <c r="L13" s="12"/>
      <c r="M13" s="6"/>
      <c r="N13" s="6"/>
      <c r="O13" s="80"/>
      <c r="P13" s="6"/>
      <c r="Q13" s="6"/>
      <c r="R13" s="6"/>
      <c r="S13" s="6"/>
      <c r="T13" s="6"/>
    </row>
    <row r="14" spans="2:20" x14ac:dyDescent="0.15">
      <c r="B14" s="8"/>
      <c r="D14" s="8"/>
      <c r="E14" s="20"/>
      <c r="F14" s="81"/>
      <c r="G14" s="81"/>
      <c r="H14" s="82"/>
      <c r="I14" s="81"/>
      <c r="J14" s="82"/>
      <c r="L14" s="6"/>
      <c r="M14" s="6"/>
      <c r="N14" s="6"/>
      <c r="O14" s="21"/>
      <c r="P14" s="6"/>
      <c r="Q14" s="6"/>
      <c r="R14" s="6"/>
      <c r="S14" s="6"/>
      <c r="T14" s="6"/>
    </row>
    <row r="15" spans="2:20" x14ac:dyDescent="0.15">
      <c r="B15" s="8"/>
      <c r="E15" s="20"/>
      <c r="F15" s="81"/>
      <c r="G15" s="81"/>
      <c r="H15" s="82"/>
      <c r="I15" s="81"/>
      <c r="J15" s="82"/>
      <c r="L15" s="6"/>
      <c r="M15" s="6"/>
      <c r="N15" s="6"/>
      <c r="O15" s="21"/>
      <c r="P15" s="6"/>
      <c r="Q15" s="6"/>
      <c r="R15" s="6"/>
      <c r="S15" s="6"/>
      <c r="T15" s="6"/>
    </row>
    <row r="16" spans="2:20" x14ac:dyDescent="0.15">
      <c r="F16" s="6"/>
      <c r="G16" s="6"/>
      <c r="H16" s="6"/>
      <c r="I16" s="6"/>
      <c r="J16" s="6"/>
      <c r="L16" s="6"/>
      <c r="M16" s="6"/>
      <c r="N16" s="6"/>
      <c r="O16" s="6"/>
      <c r="P16" s="6"/>
      <c r="Q16" s="6"/>
      <c r="R16" s="6"/>
      <c r="S16" s="6"/>
      <c r="T16" s="6"/>
    </row>
    <row r="17" spans="2:20" x14ac:dyDescent="0.15">
      <c r="F17" s="6"/>
      <c r="G17" s="6"/>
      <c r="H17" s="6"/>
      <c r="I17" s="6"/>
      <c r="J17" s="6"/>
      <c r="L17" s="6"/>
      <c r="M17" s="6"/>
      <c r="N17" s="6"/>
      <c r="O17" s="6"/>
      <c r="P17" s="6"/>
      <c r="Q17" s="6"/>
      <c r="R17" s="6"/>
      <c r="S17" s="6"/>
      <c r="T17" s="6"/>
    </row>
    <row r="18" spans="2:20" x14ac:dyDescent="0.15">
      <c r="I18" s="76"/>
      <c r="L18" s="6"/>
      <c r="M18" s="6"/>
      <c r="N18" s="6"/>
      <c r="O18" s="6"/>
      <c r="P18" s="6"/>
      <c r="Q18" s="6"/>
      <c r="R18" s="6"/>
      <c r="S18" s="6"/>
      <c r="T18" s="6"/>
    </row>
    <row r="19" spans="2:20" x14ac:dyDescent="0.15">
      <c r="I19" s="76"/>
      <c r="L19" s="6"/>
      <c r="M19" s="6"/>
      <c r="N19" s="6"/>
      <c r="O19" s="6"/>
      <c r="P19" s="6"/>
      <c r="Q19" s="6"/>
      <c r="R19" s="6"/>
      <c r="S19" s="6"/>
      <c r="T19" s="6"/>
    </row>
    <row r="20" spans="2:20" x14ac:dyDescent="0.15">
      <c r="L20" s="6"/>
      <c r="M20" s="6"/>
      <c r="N20" s="6"/>
      <c r="O20" s="6"/>
      <c r="P20" s="6"/>
      <c r="Q20" s="6"/>
      <c r="R20" s="6"/>
      <c r="S20" s="6"/>
      <c r="T20" s="6"/>
    </row>
    <row r="21" spans="2:20" x14ac:dyDescent="0.15">
      <c r="L21" s="6"/>
      <c r="M21" s="6"/>
      <c r="N21" s="6"/>
      <c r="O21" s="6"/>
      <c r="P21" s="6"/>
      <c r="Q21" s="6"/>
      <c r="R21" s="6"/>
      <c r="S21" s="6"/>
      <c r="T21" s="6"/>
    </row>
    <row r="22" spans="2:20" x14ac:dyDescent="0.15">
      <c r="L22" s="6"/>
      <c r="M22" s="6"/>
      <c r="N22" s="6"/>
      <c r="O22" s="6"/>
      <c r="P22" s="6"/>
      <c r="Q22" s="6"/>
      <c r="R22" s="6"/>
      <c r="S22" s="6"/>
      <c r="T22" s="6"/>
    </row>
    <row r="23" spans="2:20" x14ac:dyDescent="0.15">
      <c r="B23" s="45"/>
      <c r="C23" s="1" t="s">
        <v>123</v>
      </c>
    </row>
    <row r="24" spans="2:20" x14ac:dyDescent="0.15">
      <c r="B24" s="66"/>
      <c r="C24" s="1" t="s">
        <v>124</v>
      </c>
    </row>
    <row r="25" spans="2:20" x14ac:dyDescent="0.15">
      <c r="K25" s="1"/>
    </row>
    <row r="26" spans="2:20" x14ac:dyDescent="0.15">
      <c r="K26" s="1"/>
    </row>
    <row r="27" spans="2:20" x14ac:dyDescent="0.15">
      <c r="K27" s="1"/>
    </row>
    <row r="28" spans="2:20" x14ac:dyDescent="0.15">
      <c r="K28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2"/>
  <sheetViews>
    <sheetView workbookViewId="0">
      <selection activeCell="J21" sqref="J21"/>
    </sheetView>
  </sheetViews>
  <sheetFormatPr baseColWidth="10" defaultColWidth="8.83203125" defaultRowHeight="13" x14ac:dyDescent="0.15"/>
  <cols>
    <col min="1" max="1" width="2" bestFit="1" customWidth="1"/>
    <col min="2" max="2" width="11.5" bestFit="1" customWidth="1"/>
    <col min="3" max="3" width="25.33203125" bestFit="1" customWidth="1"/>
    <col min="4" max="4" width="10.33203125" bestFit="1" customWidth="1"/>
    <col min="5" max="5" width="10.83203125" bestFit="1" customWidth="1"/>
    <col min="6" max="9" width="12.5" customWidth="1"/>
    <col min="10" max="10" width="7.33203125" customWidth="1"/>
    <col min="11" max="11" width="11.5" bestFit="1" customWidth="1"/>
  </cols>
  <sheetData>
    <row r="1" spans="2:10" ht="15" x14ac:dyDescent="0.2">
      <c r="B1" s="13" t="s">
        <v>93</v>
      </c>
      <c r="C1" s="13" t="s">
        <v>94</v>
      </c>
      <c r="D1" s="13" t="s">
        <v>95</v>
      </c>
      <c r="E1" s="13" t="s">
        <v>97</v>
      </c>
      <c r="G1" s="13" t="s">
        <v>98</v>
      </c>
    </row>
    <row r="2" spans="2:10" ht="16" x14ac:dyDescent="0.2">
      <c r="B2" s="14" t="s">
        <v>103</v>
      </c>
      <c r="C2" s="14"/>
      <c r="D2" s="14"/>
      <c r="E2" s="14" t="str">
        <f>EnergyBalance!R2</f>
        <v>PJ</v>
      </c>
      <c r="G2" s="14" t="str">
        <f>EnergyBalance!Q2</f>
        <v>M€2005</v>
      </c>
    </row>
    <row r="5" spans="2:10" x14ac:dyDescent="0.15">
      <c r="C5" s="4" t="s">
        <v>13</v>
      </c>
      <c r="D5" s="4"/>
      <c r="E5" s="1"/>
      <c r="F5" s="82"/>
      <c r="G5" s="82"/>
      <c r="H5" s="82"/>
      <c r="I5" s="82"/>
      <c r="J5" s="82"/>
    </row>
    <row r="6" spans="2:10" x14ac:dyDescent="0.15">
      <c r="B6" s="3" t="s">
        <v>100</v>
      </c>
      <c r="C6" s="3" t="s">
        <v>0</v>
      </c>
      <c r="D6" s="3" t="s">
        <v>119</v>
      </c>
      <c r="E6" s="3">
        <v>2005</v>
      </c>
      <c r="F6" s="96"/>
      <c r="G6" s="96"/>
      <c r="H6" s="96"/>
      <c r="I6" s="96"/>
      <c r="J6" s="82"/>
    </row>
    <row r="7" spans="2:10" x14ac:dyDescent="0.15">
      <c r="B7" s="17" t="s">
        <v>101</v>
      </c>
      <c r="C7" s="17" t="s">
        <v>102</v>
      </c>
      <c r="D7" s="17" t="s">
        <v>120</v>
      </c>
      <c r="E7" s="17" t="s">
        <v>35</v>
      </c>
      <c r="F7" s="97"/>
      <c r="G7" s="97"/>
      <c r="H7" s="97"/>
      <c r="I7" s="97"/>
      <c r="J7" s="82"/>
    </row>
    <row r="8" spans="2:10" ht="14" thickBot="1" x14ac:dyDescent="0.2">
      <c r="B8" s="16" t="s">
        <v>108</v>
      </c>
      <c r="C8" s="16"/>
      <c r="D8" s="16"/>
      <c r="E8" s="16" t="str">
        <f>E2</f>
        <v>PJ</v>
      </c>
      <c r="F8" s="97"/>
      <c r="G8" s="97"/>
      <c r="H8" s="97"/>
      <c r="I8" s="97"/>
      <c r="J8" s="82"/>
    </row>
    <row r="9" spans="2:10" x14ac:dyDescent="0.15">
      <c r="B9" s="33" t="s">
        <v>34</v>
      </c>
      <c r="C9" s="33" t="str">
        <f>DemTechs_TPS!N5</f>
        <v>TPSCOA</v>
      </c>
      <c r="D9" s="33" t="s">
        <v>96</v>
      </c>
      <c r="E9" s="71">
        <f>EnergyBalance!D24-EnergyBalance!D14</f>
        <v>13413.960000000001</v>
      </c>
      <c r="F9" s="82"/>
      <c r="G9" s="82"/>
      <c r="H9" s="82"/>
      <c r="I9" s="82"/>
      <c r="J9" s="82"/>
    </row>
    <row r="10" spans="2:10" x14ac:dyDescent="0.15">
      <c r="F10" s="82"/>
      <c r="G10" s="82"/>
      <c r="H10" s="82"/>
      <c r="I10" s="82"/>
      <c r="J10" s="82"/>
    </row>
    <row r="11" spans="2:10" x14ac:dyDescent="0.15">
      <c r="F11" s="82"/>
      <c r="G11" s="95"/>
      <c r="H11" s="95"/>
      <c r="I11" s="95"/>
      <c r="J11" s="82"/>
    </row>
    <row r="12" spans="2:10" x14ac:dyDescent="0.15">
      <c r="E12" s="32"/>
      <c r="F12" s="82"/>
      <c r="G12" s="82"/>
      <c r="H12" s="82"/>
      <c r="I12" s="82"/>
      <c r="J12" s="82"/>
    </row>
    <row r="13" spans="2:10" x14ac:dyDescent="0.15">
      <c r="E13" s="10"/>
      <c r="F13" s="82"/>
      <c r="G13" s="82"/>
      <c r="H13" s="82"/>
      <c r="I13" s="82"/>
      <c r="J13" s="82"/>
    </row>
    <row r="14" spans="2:10" x14ac:dyDescent="0.15">
      <c r="F14" s="82"/>
      <c r="G14" s="82"/>
      <c r="H14" s="82"/>
      <c r="I14" s="82"/>
      <c r="J14" s="82"/>
    </row>
    <row r="15" spans="2:10" x14ac:dyDescent="0.15">
      <c r="E15" s="10"/>
      <c r="F15" s="82"/>
      <c r="G15" s="82"/>
      <c r="H15" s="82"/>
      <c r="I15" s="82"/>
      <c r="J15" s="82"/>
    </row>
    <row r="16" spans="2:10" x14ac:dyDescent="0.15">
      <c r="F16" s="82"/>
      <c r="G16" s="82"/>
      <c r="H16" s="82"/>
      <c r="I16" s="82"/>
      <c r="J16" s="82"/>
    </row>
    <row r="17" spans="2:10" x14ac:dyDescent="0.15">
      <c r="F17" s="82"/>
      <c r="G17" s="82"/>
      <c r="H17" s="82"/>
      <c r="I17" s="82"/>
      <c r="J17" s="82"/>
    </row>
    <row r="21" spans="2:10" x14ac:dyDescent="0.15">
      <c r="B21" s="45"/>
      <c r="C21" s="1" t="s">
        <v>123</v>
      </c>
    </row>
    <row r="22" spans="2:10" x14ac:dyDescent="0.15">
      <c r="B22" s="66"/>
      <c r="C22" s="1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EnergyBalance</vt:lpstr>
      <vt:lpstr>RES&amp;OBJ</vt:lpstr>
      <vt:lpstr>Pri_COA</vt:lpstr>
      <vt:lpstr>DemTechs_TPS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Microsoft Office User</cp:lastModifiedBy>
  <cp:lastPrinted>2004-11-16T14:57:57Z</cp:lastPrinted>
  <dcterms:created xsi:type="dcterms:W3CDTF">2000-12-13T15:53:11Z</dcterms:created>
  <dcterms:modified xsi:type="dcterms:W3CDTF">2022-03-16T09:34:54Z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333507835865020</vt:r8>
  </property>
</Properties>
</file>