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987" documentId="8_{BE3C840B-77DA-49C4-A525-6AC6A3D7E48D}" xr6:coauthVersionLast="47" xr6:coauthVersionMax="47" xr10:uidLastSave="{41547A61-8951-4B2A-B935-D3BF95E01589}"/>
  <bookViews>
    <workbookView xWindow="-110" yWindow="-110" windowWidth="19420" windowHeight="10420" tabRatio="862" firstSheet="2" activeTab="6"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Data manipulation" sheetId="267" r:id="rId9"/>
    <sheet name="Buildings_DR" sheetId="264" r:id="rId10"/>
    <sheet name="Dem" sheetId="221" r:id="rId11"/>
    <sheet name="Emis" sheetId="242"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10"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5" i="260" l="1"/>
  <c r="C45" i="260"/>
  <c r="B45" i="260"/>
  <c r="S92" i="231"/>
  <c r="T92" i="231" s="1"/>
  <c r="E92" i="231" s="1"/>
  <c r="AA45" i="260"/>
  <c r="AD45" i="260" s="1"/>
  <c r="K45" i="260" s="1"/>
  <c r="V45" i="260"/>
  <c r="Z45" i="260" s="1"/>
  <c r="AC45" i="260" s="1"/>
  <c r="J45" i="260" s="1"/>
  <c r="O45" i="260"/>
  <c r="F45" i="260"/>
  <c r="V34" i="260"/>
  <c r="Z34" i="260" s="1"/>
  <c r="AC34" i="260" s="1"/>
  <c r="J34" i="260" s="1"/>
  <c r="G26" i="260"/>
  <c r="G23" i="260"/>
  <c r="G34" i="260"/>
  <c r="F34" i="260"/>
  <c r="S81" i="231"/>
  <c r="T81" i="231" s="1"/>
  <c r="E81" i="231" s="1"/>
  <c r="C34" i="260" s="1"/>
  <c r="AA34" i="260"/>
  <c r="AD34" i="260" s="1"/>
  <c r="K34" i="260" s="1"/>
  <c r="O34" i="260"/>
  <c r="S70" i="231"/>
  <c r="T70" i="231" s="1"/>
  <c r="E70" i="231" s="1"/>
  <c r="C23" i="260" s="1"/>
  <c r="AA23" i="260"/>
  <c r="AD23" i="260" s="1"/>
  <c r="K23" i="260" s="1"/>
  <c r="V23" i="260"/>
  <c r="Z23" i="260" s="1"/>
  <c r="AC23" i="260" s="1"/>
  <c r="O23" i="260"/>
  <c r="F23" i="260"/>
  <c r="V12" i="260"/>
  <c r="Z12" i="260" s="1"/>
  <c r="AC12" i="260" s="1"/>
  <c r="O12" i="260"/>
  <c r="G12" i="260"/>
  <c r="F12" i="260"/>
  <c r="S59" i="231"/>
  <c r="P59" i="231" s="1"/>
  <c r="D59" i="231" s="1"/>
  <c r="B12" i="260" s="1"/>
  <c r="E111" i="231"/>
  <c r="D111" i="231"/>
  <c r="E17" i="232"/>
  <c r="D17" i="232"/>
  <c r="D28" i="216"/>
  <c r="C28" i="216"/>
  <c r="V7" i="260"/>
  <c r="H28" i="267"/>
  <c r="I28" i="267"/>
  <c r="J28" i="267"/>
  <c r="K28" i="267"/>
  <c r="L28" i="267"/>
  <c r="M28" i="267"/>
  <c r="N28" i="267"/>
  <c r="O28" i="267"/>
  <c r="G28" i="267"/>
  <c r="P92" i="231" l="1"/>
  <c r="D92" i="231" s="1"/>
  <c r="Y45" i="260"/>
  <c r="AB45" i="260" s="1"/>
  <c r="I45" i="260" s="1"/>
  <c r="T45" i="260" s="1"/>
  <c r="P81" i="231"/>
  <c r="D81" i="231" s="1"/>
  <c r="B34" i="260" s="1"/>
  <c r="Y34" i="260"/>
  <c r="AB34" i="260" s="1"/>
  <c r="I34" i="260" s="1"/>
  <c r="T34" i="260" s="1"/>
  <c r="J12" i="260"/>
  <c r="J23" i="260"/>
  <c r="P70" i="231"/>
  <c r="D70" i="231" s="1"/>
  <c r="B23" i="260" s="1"/>
  <c r="Y23" i="260"/>
  <c r="AB23" i="260" s="1"/>
  <c r="I23" i="260" s="1"/>
  <c r="T23" i="260" s="1"/>
  <c r="AA12" i="260"/>
  <c r="AD12" i="260" s="1"/>
  <c r="K12" i="260" s="1"/>
  <c r="Y12" i="260"/>
  <c r="AB12" i="260" s="1"/>
  <c r="I12" i="260" s="1"/>
  <c r="T59" i="231"/>
  <c r="E59" i="231" s="1"/>
  <c r="C12" i="260" s="1"/>
  <c r="T12" i="260" l="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3"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49" i="267"/>
  <c r="I49" i="267"/>
  <c r="J49" i="267"/>
  <c r="K49" i="267"/>
  <c r="L49" i="267"/>
  <c r="M49" i="267"/>
  <c r="N49" i="267"/>
  <c r="O49"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4" i="267"/>
  <c r="G53" i="267"/>
  <c r="G52" i="267"/>
  <c r="G51" i="267"/>
  <c r="G50" i="267"/>
  <c r="G49"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5" i="267"/>
  <c r="G24"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Y6" i="260" s="1"/>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B17" i="232" s="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W11" i="267"/>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W12"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G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15" i="267"/>
  <c r="X24" i="267" s="1"/>
  <c r="W15" i="267"/>
  <c r="X21" i="267"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W73" i="269" l="1"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7" i="269" s="1"/>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K76" i="264" a="1"/>
  <c r="K76" i="264" s="1"/>
  <c r="W76" i="264" s="1"/>
  <c r="E70" i="264"/>
  <c r="E77" i="264"/>
  <c r="E26" i="264"/>
  <c r="E12" i="264"/>
  <c r="E56" i="264"/>
  <c r="E33" i="264"/>
  <c r="E63" i="264"/>
  <c r="F62" i="221"/>
  <c r="N62" i="264" s="1" a="1"/>
  <c r="N62" i="264" s="1"/>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0" i="221" l="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7" i="264" a="1"/>
  <c r="L67" i="264" s="1"/>
  <c r="X67" i="264" s="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F66" i="221"/>
  <c r="F30" i="221" s="1"/>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72" i="221"/>
  <c r="F36" i="221" s="1"/>
  <c r="F24" i="221"/>
  <c r="K74" i="264" a="1"/>
  <c r="K74" i="264" s="1"/>
  <c r="W74" i="264" s="1"/>
  <c r="K75" i="264" a="1"/>
  <c r="K75" i="264" s="1"/>
  <c r="W75" i="264" s="1"/>
  <c r="C183" i="260"/>
  <c r="C143" i="260"/>
  <c r="G183" i="260"/>
  <c r="G143"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V35" i="267" l="1"/>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G8" i="269" s="1"/>
  <c r="Y31" i="269"/>
  <c r="G31" i="269" s="1"/>
  <c r="AA31" i="269"/>
  <c r="I31" i="269" s="1"/>
  <c r="AA46" i="269"/>
  <c r="I46" i="269" s="1"/>
  <c r="Z46" i="269"/>
  <c r="H46" i="269" s="1"/>
  <c r="AA34" i="269"/>
  <c r="I34" i="269" s="1"/>
  <c r="Z34" i="269"/>
  <c r="H34" i="269" s="1"/>
  <c r="Z61" i="269"/>
  <c r="H61" i="269" s="1"/>
  <c r="AA61" i="269"/>
  <c r="I61" i="269" s="1"/>
  <c r="Y61" i="269"/>
  <c r="G61" i="269" s="1"/>
  <c r="AA35" i="269"/>
  <c r="I35" i="269" s="1"/>
  <c r="Z35" i="269"/>
  <c r="H35" i="269" s="1"/>
  <c r="Y35" i="269"/>
  <c r="G35" i="269" s="1"/>
  <c r="AA16" i="269"/>
  <c r="I16" i="269" s="1"/>
  <c r="Y16" i="269"/>
  <c r="G16" i="269" s="1"/>
  <c r="Z62" i="269"/>
  <c r="H62" i="269" s="1"/>
  <c r="AA62" i="269"/>
  <c r="I62" i="269" s="1"/>
  <c r="Y62" i="269"/>
  <c r="G62" i="269" s="1"/>
  <c r="Z171" i="260" l="1"/>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Y185" i="260"/>
  <c r="Y188" i="260"/>
  <c r="AB188" i="260" s="1"/>
  <c r="Y181" i="260"/>
  <c r="AB181" i="260" s="1"/>
  <c r="Y182" i="260"/>
  <c r="AB182" i="260" s="1"/>
  <c r="Z116" i="260"/>
  <c r="Z191" i="260"/>
  <c r="AC191" i="260" s="1"/>
  <c r="Z193" i="260"/>
  <c r="AC193" i="260" s="1"/>
  <c r="Z195" i="260"/>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B6"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65" i="221"/>
  <c r="F29" i="221" s="1"/>
  <c r="AD74" i="264"/>
  <c r="AD60" i="264"/>
  <c r="Q30" i="269"/>
  <c r="AB174" i="260"/>
  <c r="AC170" i="260"/>
  <c r="AB170" i="260"/>
  <c r="AB172" i="260"/>
  <c r="AD182" i="260"/>
  <c r="AC188" i="260"/>
  <c r="AB183" i="260"/>
  <c r="AB185" i="260"/>
  <c r="AC185" i="260"/>
  <c r="AC180" i="260"/>
  <c r="AB186" i="260"/>
  <c r="V48" i="267"/>
  <c r="AC190" i="260"/>
  <c r="AC195" i="260"/>
  <c r="AC197" i="260"/>
  <c r="AB197" i="260"/>
  <c r="AC116" i="260"/>
  <c r="J116" i="260" s="1"/>
  <c r="AC203" i="260"/>
  <c r="AC204" i="260"/>
  <c r="H65" i="221"/>
  <c r="H29" i="221" s="1"/>
  <c r="F68" i="221"/>
  <c r="F32" i="221" s="1"/>
  <c r="H68" i="221"/>
  <c r="H32" i="221" s="1"/>
  <c r="G65" i="221"/>
  <c r="G29" i="221" s="1"/>
  <c r="F70" i="221"/>
  <c r="F34" i="221" s="1"/>
  <c r="G68" i="221"/>
  <c r="G32" i="221" s="1"/>
  <c r="F67" i="221"/>
  <c r="F31" i="221" s="1"/>
  <c r="H67" i="221"/>
  <c r="H31" i="221" s="1"/>
  <c r="G67" i="221"/>
  <c r="G31" i="221" s="1"/>
  <c r="V46" i="267"/>
  <c r="V47" i="267"/>
  <c r="V49" i="267"/>
  <c r="H73" i="221"/>
  <c r="H37" i="221" s="1"/>
  <c r="F71" i="221"/>
  <c r="F35" i="221" s="1"/>
  <c r="G73" i="221"/>
  <c r="G37" i="221" s="1"/>
  <c r="G70" i="221"/>
  <c r="G34" i="221" s="1"/>
  <c r="H70" i="221"/>
  <c r="H34" i="221" s="1"/>
  <c r="F73" i="221"/>
  <c r="F37" i="221" s="1"/>
  <c r="I8" i="269"/>
  <c r="Y11" i="270" l="1"/>
  <c r="Y15" i="270"/>
  <c r="AB15" i="270" s="1"/>
  <c r="Y19" i="270"/>
  <c r="AB19" i="270" s="1"/>
  <c r="Z7" i="270"/>
  <c r="AC7" i="270" s="1"/>
  <c r="K7" i="270" s="1"/>
  <c r="Z11" i="270"/>
  <c r="Z15" i="270"/>
  <c r="AC15" i="270" s="1"/>
  <c r="Z19" i="270"/>
  <c r="AC19" i="270" s="1"/>
  <c r="Y7" i="270"/>
  <c r="AB7" i="270" s="1"/>
  <c r="J7" i="270" s="1"/>
  <c r="X7" i="270"/>
  <c r="X19" i="270"/>
  <c r="AA19" i="270" s="1"/>
  <c r="X15" i="270"/>
  <c r="AA15" i="270" s="1"/>
  <c r="X11" i="270"/>
  <c r="AA11" i="270" s="1"/>
  <c r="Z10" i="270"/>
  <c r="Z14" i="270"/>
  <c r="AC14" i="270" s="1"/>
  <c r="Z18" i="270"/>
  <c r="AC18" i="270" s="1"/>
  <c r="Z22" i="270"/>
  <c r="AC22" i="270" s="1"/>
  <c r="Y10" i="270"/>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AA7" i="270"/>
  <c r="AI54" i="264" s="1"/>
  <c r="AB11" i="270"/>
  <c r="AC11" i="270"/>
  <c r="AC10" i="270"/>
  <c r="AB10" i="27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C17" i="232" s="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l="1"/>
  <c r="AL63" i="264" s="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<sst xmlns="http://schemas.openxmlformats.org/spreadsheetml/2006/main" count="4770" uniqueCount="992">
  <si>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</si>
  <si>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</si>
  <si>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</si>
  <si>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</si>
  <si>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</si>
  <si>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</si>
  <si>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</si>
  <si>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</si>
  <si>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</si>
  <si>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</si>
  <si>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</si>
  <si>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</si>
  <si>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</si>
  <si>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</si>
  <si>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</si>
  <si>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</si>
  <si>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</si>
  <si>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</si>
  <si>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</si>
  <si>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</si>
  <si>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</si>
  <si>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</si>
  <si>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</si>
  <si>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</si>
  <si>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</si>
  <si>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</si>
  <si>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</si>
  <si>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</si>
  <si>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</si>
  <si>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</si>
  <si>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</si>
  <si>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</si>
  <si>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</si>
  <si>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</si>
  <si>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</si>
  <si>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</si>
  <si>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</si>
  <si>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</si>
  <si>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</si>
  <si>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</si>
  <si>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</si>
  <si>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</si>
  <si>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</si>
  <si>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</si>
  <si>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</si>
  <si>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</si>
  <si>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</si>
  <si>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</si>
  <si>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</si>
  <si>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</si>
  <si>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</si>
  <si>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</si>
  <si>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</si>
  <si>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</si>
  <si>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</si>
  <si>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</si>
  <si>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</si>
  <si>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</si>
  <si>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</si>
  <si>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</si>
  <si>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</si>
  <si>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</si>
  <si>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</si>
  <si>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</si>
  <si>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</si>
  <si>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</si>
  <si>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</si>
  <si>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</si>
  <si>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</si>
  <si>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</si>
  <si>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</si>
  <si>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</si>
  <si>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</si>
  <si>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</si>
  <si>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</si>
  <si>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</si>
  <si>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</si>
  <si>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</si>
  <si>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</si>
  <si>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</si>
  <si>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</si>
  <si>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</si>
  <si>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</si>
  <si>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</si>
  <si>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</si>
  <si>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</si>
  <si>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</si>
  <si>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</si>
  <si>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</si>
  <si>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</si>
  <si>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</si>
  <si>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</si>
  <si>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</si>
  <si>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</si>
  <si>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</si>
  <si>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</si>
  <si>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</si>
  <si>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</si>
  <si>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</si>
  <si>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</si>
  <si>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</si>
  <si>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</si>
  <si>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</si>
  <si>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</si>
  <si>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</si>
  <si>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</si>
  <si>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</si>
  <si>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</si>
  <si>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</si>
  <si>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</si>
  <si>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</si>
  <si>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</si>
  <si>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</si>
  <si>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</si>
  <si>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</si>
  <si>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</si>
  <si>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</si>
  <si>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</si>
  <si>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</si>
  <si>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</si>
  <si>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</si>
  <si>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</si>
  <si>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</si>
  <si>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</si>
  <si>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</si>
  <si>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</si>
  <si>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</si>
  <si>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</si>
  <si>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</si>
  <si>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</si>
  <si>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</si>
  <si>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</si>
  <si>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</si>
  <si>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</si>
  <si>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</si>
  <si>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</si>
  <si>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</si>
  <si>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</si>
  <si>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</si>
  <si>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</si>
  <si>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</si>
  <si>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</si>
  <si>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</si>
  <si>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</si>
  <si>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</si>
  <si>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</si>
  <si>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</si>
  <si>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</si>
  <si>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</si>
  <si>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</si>
  <si>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</si>
  <si>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</si>
  <si>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</si>
  <si>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</si>
  <si>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</si>
  <si>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</si>
  <si>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</si>
  <si>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</si>
  <si>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</si>
  <si>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</si>
  <si>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</si>
  <si>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</si>
  <si>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</si>
  <si>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</si>
  <si>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</si>
  <si>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</si>
  <si>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</si>
  <si>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</si>
  <si>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</si>
  <si>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</si>
  <si>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</si>
  <si>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</si>
  <si>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</si>
  <si>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</si>
  <si>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</si>
  <si>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</si>
  <si>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</si>
  <si>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</si>
  <si>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</si>
  <si>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</si>
  <si>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</si>
  <si>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</si>
  <si>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</si>
  <si>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</si>
  <si>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</si>
  <si>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</si>
  <si>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</si>
  <si>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</si>
  <si>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</si>
  <si>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</si>
  <si>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</si>
  <si>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</si>
  <si>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</si>
  <si>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</si>
  <si>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</si>
  <si>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</si>
  <si>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</si>
  <si>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</si>
  <si>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</si>
  <si>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</si>
  <si>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</si>
  <si>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</si>
  <si>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</si>
  <si>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</si>
  <si>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</si>
  <si>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</si>
  <si>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</si>
  <si>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</si>
  <si>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</si>
  <si>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</si>
  <si>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</si>
  <si>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</si>
  <si>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</si>
  <si>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</si>
  <si>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</si>
  <si>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</si>
  <si>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</si>
  <si>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</si>
  <si>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</si>
  <si>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</si>
  <si>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</si>
  <si>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</si>
  <si>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</si>
  <si>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</si>
  <si>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</si>
  <si>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</si>
  <si>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</si>
  <si>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</si>
  <si>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</si>
  <si>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</si>
  <si>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</si>
  <si>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</si>
  <si>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</si>
  <si>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</si>
  <si>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</si>
  <si>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</si>
  <si>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</si>
  <si>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</si>
  <si>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</si>
  <si>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</si>
  <si>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</si>
  <si>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</si>
  <si>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</si>
  <si>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</si>
  <si>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</si>
  <si>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</si>
  <si>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</si>
  <si>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</si>
  <si>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</si>
  <si>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</si>
  <si>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</si>
  <si>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</si>
  <si>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</si>
  <si>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</si>
  <si>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</si>
  <si>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</si>
  <si>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</si>
  <si>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</si>
  <si>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</si>
  <si>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</si>
  <si>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</si>
  <si>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</si>
  <si>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</si>
  <si>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</si>
  <si>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</si>
  <si>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</si>
  <si>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</si>
  <si>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</si>
  <si>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</si>
  <si>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</si>
  <si>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</si>
  <si>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</si>
  <si>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</si>
  <si>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</si>
  <si>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</si>
  <si>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</si>
  <si>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</si>
  <si>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</si>
  <si>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</si>
  <si>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</si>
  <si>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</si>
  <si>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</si>
  <si>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</si>
  <si>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</si>
  <si>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</si>
  <si>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</si>
  <si>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</si>
  <si>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</si>
  <si>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</si>
  <si>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</si>
  <si>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</si>
  <si>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</si>
  <si>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</si>
  <si>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</si>
  <si>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</si>
  <si>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</si>
  <si>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</si>
  <si>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</si>
  <si>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</si>
  <si>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</si>
  <si>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</si>
  <si>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</si>
  <si>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</si>
  <si>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</si>
  <si>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</si>
  <si>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</si>
  <si>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</si>
  <si>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</si>
  <si>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</si>
  <si>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</si>
  <si>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</si>
  <si>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</si>
  <si>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</si>
  <si>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</si>
  <si>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</si>
  <si>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</si>
  <si>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</si>
  <si>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</si>
  <si>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</si>
  <si>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</si>
  <si>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</si>
  <si>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</si>
  <si>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</si>
  <si>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</si>
  <si>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</si>
  <si>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</si>
  <si>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</si>
  <si>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</si>
  <si>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</si>
  <si>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</si>
  <si>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</si>
  <si>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</si>
  <si>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</si>
  <si>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</si>
  <si>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</si>
  <si>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</si>
  <si>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</si>
  <si>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</si>
  <si>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</si>
  <si>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</si>
  <si>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</si>
  <si>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</si>
  <si>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</si>
  <si>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</si>
  <si>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</si>
  <si>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</si>
  <si>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</si>
  <si>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</si>
  <si>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</si>
  <si>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</si>
  <si>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</si>
  <si>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</si>
  <si>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</si>
  <si>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</si>
  <si>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</si>
  <si>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</si>
  <si>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</si>
  <si>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</si>
  <si>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</si>
  <si>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</si>
  <si>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</si>
  <si>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</si>
  <si>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</si>
  <si>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</si>
  <si>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</si>
  <si>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</si>
  <si>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</si>
  <si>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</si>
  <si>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</si>
  <si>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</si>
  <si>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</si>
  <si>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</si>
  <si>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</si>
  <si>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</si>
  <si>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</si>
  <si>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</si>
  <si>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</si>
  <si>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</si>
  <si>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</si>
  <si>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</si>
  <si>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</si>
  <si>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</si>
  <si>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</si>
  <si>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</si>
  <si>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</si>
  <si>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</si>
  <si>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</si>
  <si>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</si>
  <si>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</si>
  <si>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</si>
  <si>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</si>
  <si>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</si>
  <si>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</si>
  <si>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</si>
  <si>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</si>
  <si>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</si>
  <si>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</si>
  <si>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</si>
  <si>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</si>
  <si>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</si>
  <si>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</si>
  <si>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</si>
  <si>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</si>
  <si>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</si>
  <si>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</si>
  <si>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</si>
  <si>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</si>
  <si>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</si>
  <si>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</si>
  <si>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</si>
  <si>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</si>
  <si>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</si>
  <si>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</si>
  <si>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</si>
  <si>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</si>
  <si>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</si>
  <si>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</si>
  <si>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</si>
  <si>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</si>
  <si>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</si>
  <si>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</si>
  <si>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</si>
  <si>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</si>
  <si>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</si>
  <si>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</si>
  <si>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</si>
  <si>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</si>
  <si>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</si>
  <si>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</si>
  <si>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</si>
  <si>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</si>
  <si>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</si>
  <si>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</si>
  <si>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</si>
  <si>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</si>
  <si>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</si>
  <si>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</si>
  <si>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</si>
  <si>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</si>
  <si>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</si>
  <si>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</si>
  <si>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</si>
  <si>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</si>
  <si>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</si>
  <si>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</si>
  <si>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</si>
  <si>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</si>
  <si>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</si>
  <si>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</si>
  <si>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</si>
  <si>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</si>
  <si>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</si>
  <si>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</si>
  <si>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</si>
  <si>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</si>
  <si>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</si>
  <si>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</si>
  <si>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</si>
  <si>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</si>
  <si>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</si>
  <si>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</si>
  <si>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</si>
  <si>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</si>
  <si>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</si>
  <si>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</si>
  <si>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</si>
  <si>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</si>
  <si>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</si>
  <si>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</si>
  <si>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</si>
  <si>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</si>
  <si>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</si>
  <si>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</si>
  <si>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</si>
  <si>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</si>
  <si>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</si>
  <si>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</si>
  <si>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</si>
  <si>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</si>
  <si>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</si>
  <si>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</si>
  <si>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</si>
  <si>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</si>
  <si>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</si>
  <si>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</si>
  <si>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</si>
  <si>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</si>
  <si>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</si>
  <si>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</si>
  <si>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</si>
  <si>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</si>
  <si>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</si>
  <si>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</si>
  <si>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</si>
  <si>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</si>
  <si>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</si>
  <si>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</si>
  <si>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</si>
  <si>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</si>
  <si>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</si>
  <si>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</si>
  <si>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</si>
  <si>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</si>
  <si>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</si>
  <si>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</si>
  <si>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</si>
  <si>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</si>
  <si>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</si>
  <si>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</si>
  <si>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</si>
  <si>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</si>
  <si>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</si>
  <si>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</si>
  <si>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</si>
  <si>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</si>
  <si>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</si>
  <si>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</si>
  <si>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</si>
  <si>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</si>
  <si>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</si>
  <si>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</si>
  <si>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</si>
  <si>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</si>
  <si>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</si>
  <si>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</si>
  <si>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</si>
  <si>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</si>
  <si>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</si>
  <si>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</si>
  <si>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</si>
  <si>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</si>
  <si>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</si>
  <si>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</si>
  <si>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</si>
  <si>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</si>
  <si>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</si>
  <si>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</si>
  <si>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</si>
  <si>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</si>
  <si>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</si>
  <si>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</si>
  <si>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</si>
  <si>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</si>
  <si>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</si>
  <si>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</si>
  <si>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</si>
  <si>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</si>
  <si>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</si>
  <si>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</si>
  <si>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</si>
  <si>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</si>
  <si>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</si>
  <si>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</si>
  <si>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</si>
  <si>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</si>
  <si>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</si>
  <si>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</si>
  <si>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</si>
  <si>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</si>
  <si>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</si>
  <si>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</si>
  <si>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</si>
  <si>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</si>
  <si>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</si>
  <si>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</si>
  <si>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</si>
  <si>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</si>
  <si>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</si>
  <si>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</si>
  <si>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</si>
  <si>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</si>
  <si>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</si>
  <si>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</si>
  <si>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</si>
  <si>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</si>
  <si>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</si>
  <si>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</si>
  <si>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</si>
  <si>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</si>
  <si>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</si>
  <si>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</si>
  <si>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</si>
  <si>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</si>
  <si>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</si>
  <si>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</si>
  <si>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</si>
  <si>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</si>
  <si>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</si>
  <si>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</si>
  <si>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</si>
  <si>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</si>
  <si>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</si>
  <si>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</si>
  <si>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</si>
  <si>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</si>
  <si>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</si>
  <si>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</si>
  <si>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</si>
  <si>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</si>
  <si>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</si>
  <si>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</si>
  <si>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</si>
  <si>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</si>
  <si>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</si>
  <si>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</si>
  <si>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</si>
  <si>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</si>
  <si>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</si>
  <si>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</si>
  <si>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</si>
  <si>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</si>
  <si>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</si>
  <si>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</si>
  <si>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</si>
  <si>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</si>
  <si>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</si>
  <si>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</si>
  <si>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</si>
  <si>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</si>
  <si>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</si>
  <si>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</si>
  <si>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</si>
  <si>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</si>
  <si>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</si>
  <si>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</si>
  <si>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</si>
  <si>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</si>
  <si>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</si>
  <si>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</si>
  <si>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</si>
  <si>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</si>
  <si>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</si>
  <si>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</si>
  <si>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</si>
  <si>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</si>
  <si>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</si>
  <si>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</si>
  <si>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</si>
  <si>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</si>
  <si>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</si>
  <si>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</si>
  <si>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</si>
  <si>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</si>
  <si>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</si>
  <si>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</si>
  <si>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</si>
  <si>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</si>
  <si>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</si>
  <si>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</si>
  <si>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</si>
  <si>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</si>
  <si>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</si>
  <si>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</si>
  <si>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</si>
  <si>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</si>
  <si>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</si>
  <si>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</si>
  <si>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</si>
  <si>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</si>
  <si>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</si>
  <si>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</si>
  <si>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</si>
  <si>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</si>
  <si>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</si>
  <si>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</si>
  <si>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</si>
  <si>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</si>
  <si>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</si>
  <si>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</si>
  <si>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</si>
  <si>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</si>
  <si>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</si>
  <si>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</si>
  <si>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</si>
  <si>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</si>
  <si>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</si>
  <si>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</si>
  <si>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</si>
  <si>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</si>
  <si>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</si>
  <si>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</si>
  <si>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</si>
  <si>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</si>
  <si>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</si>
  <si>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</si>
  <si>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</si>
  <si>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</si>
  <si>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</si>
  <si>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</si>
  <si>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</si>
  <si>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</si>
  <si>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</si>
  <si>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</si>
  <si>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</si>
  <si>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</si>
  <si>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</si>
  <si>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</si>
  <si>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</si>
  <si>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</si>
  <si>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</si>
  <si>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</si>
  <si>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</si>
  <si>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</si>
  <si>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</si>
  <si>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</si>
  <si>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</si>
  <si>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</si>
  <si>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</si>
  <si>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</si>
  <si>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</si>
  <si>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</si>
  <si>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</si>
  <si>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</si>
  <si>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</si>
  <si>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</si>
  <si>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</si>
  <si>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</si>
  <si>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</si>
  <si>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</si>
  <si>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</si>
  <si>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</si>
  <si>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</si>
  <si>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</si>
  <si>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</si>
  <si>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</si>
  <si>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</si>
  <si>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</si>
  <si>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</si>
  <si>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</si>
  <si>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</si>
  <si>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</si>
  <si>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</si>
  <si>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</si>
  <si>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</si>
  <si>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</si>
  <si>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</si>
  <si>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</si>
  <si>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</si>
  <si>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</si>
  <si>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</si>
  <si>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</si>
  <si>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</si>
  <si>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</si>
  <si>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</si>
  <si>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</si>
  <si>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</si>
  <si>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</si>
  <si>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</si>
  <si>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</si>
  <si>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</si>
  <si>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</si>
  <si>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</si>
  <si>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</si>
  <si>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</si>
  <si>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</si>
  <si>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</si>
  <si>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</si>
  <si>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</si>
  <si>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</si>
  <si>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</si>
  <si>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</si>
  <si>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</si>
  <si>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</si>
  <si>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</si>
  <si>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</si>
  <si>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</si>
  <si>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</si>
  <si>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</si>
  <si>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</si>
  <si>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</si>
  <si>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</si>
  <si>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</si>
  <si>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</si>
  <si>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</si>
  <si>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</si>
  <si>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</si>
  <si>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</si>
  <si>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</si>
  <si>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</si>
  <si>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</si>
  <si>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</si>
  <si>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</si>
  <si>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</si>
  <si>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</si>
  <si>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</si>
  <si>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</si>
  <si>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</si>
  <si>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</si>
  <si>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</si>
  <si>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</si>
  <si>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</si>
  <si>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</si>
  <si>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</si>
  <si>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</si>
  <si>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</si>
  <si>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</si>
  <si>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</si>
  <si>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</si>
  <si>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</si>
  <si>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</si>
  <si>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</si>
  <si>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</si>
  <si>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</si>
  <si>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</si>
  <si>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</si>
  <si>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</si>
  <si>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</si>
  <si>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</si>
  <si>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</si>
  <si>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</si>
  <si>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</si>
  <si>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</si>
  <si>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</si>
  <si>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</si>
  <si>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</si>
  <si>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</si>
  <si>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</si>
  <si>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</si>
  <si>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</si>
  <si>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</si>
  <si>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</si>
  <si>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</si>
  <si>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</si>
  <si>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</si>
  <si>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</si>
  <si>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</si>
  <si>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</si>
  <si>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</si>
  <si>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</si>
  <si>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</si>
  <si>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</si>
  <si>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</si>
  <si>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</si>
  <si>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</si>
  <si>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</si>
  <si>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</si>
  <si>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</si>
  <si>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</si>
  <si>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</si>
  <si>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</si>
  <si>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</si>
  <si>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</si>
  <si>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</si>
  <si>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</si>
  <si>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</si>
  <si>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</si>
  <si>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</si>
  <si>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</si>
  <si>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</si>
  <si>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</si>
  <si>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</si>
  <si>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</si>
  <si>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</si>
  <si>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</si>
  <si>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</si>
  <si>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</si>
  <si>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</si>
  <si>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</si>
  <si>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</si>
  <si>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</si>
  <si>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</si>
  <si>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</si>
  <si>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</si>
  <si>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</si>
  <si>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</si>
  <si>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</si>
  <si>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</si>
  <si>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</si>
  <si>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</si>
  <si>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</si>
  <si>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</si>
  <si>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</si>
  <si>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</si>
  <si>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</si>
  <si>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</si>
  <si>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</si>
  <si>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</si>
  <si>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</si>
  <si>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</si>
  <si>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</si>
  <si>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</si>
  <si>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</si>
  <si>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</si>
  <si>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</si>
  <si>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</si>
  <si>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</si>
  <si>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</si>
  <si>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</si>
  <si>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</si>
  <si>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</si>
  <si>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</si>
  <si>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</si>
  <si>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</si>
  <si>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</si>
  <si>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</si>
  <si>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</si>
  <si>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</si>
  <si>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</si>
  <si>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</si>
  <si>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</si>
  <si>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</si>
  <si>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</si>
  <si>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</si>
  <si>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</si>
  <si>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</si>
  <si>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</si>
  <si>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</si>
  <si>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</si>
  <si>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</si>
  <si>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</si>
  <si>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</si>
  <si>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</si>
  <si>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</si>
  <si>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</si>
  <si>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</si>
  <si>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</si>
  <si>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</si>
  <si>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</si>
  <si>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</si>
  <si>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</si>
  <si>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</si>
  <si>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</si>
  <si>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</si>
  <si>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</si>
  <si>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</si>
  <si>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</si>
  <si>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</si>
  <si>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</si>
  <si>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</si>
  <si>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</si>
  <si>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</si>
  <si>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</si>
  <si>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</si>
  <si>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</si>
  <si>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</si>
  <si>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</si>
  <si>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</si>
  <si>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</si>
  <si>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</si>
  <si>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</si>
  <si>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</si>
  <si>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https://www-genesis.destatis.de/genesis/online?operation=previous&amp;levelindex=2&amp;step=2&amp;titel=Result&amp;levelid=1648028643789&amp;acceptscookies=false#abreadcrumb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</si>
  <si>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</si>
  <si>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</si>
  <si>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</si>
  <si>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</si>
  <si>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</si>
  <si>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</si>
  <si>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</si>
  <si>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</si>
  <si>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</si>
  <si>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</si>
  <si>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</si>
  <si>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</si>
  <si>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</si>
  <si>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</si>
  <si>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</si>
  <si>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</si>
  <si>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</si>
  <si>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</si>
  <si>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</si>
  <si>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</si>
  <si>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</si>
  <si>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</si>
  <si>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</si>
  <si>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</si>
  <si>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EFF~DE2~2015</t>
  </si>
  <si>
    <t>EFF~DE2~2018</t>
  </si>
  <si>
    <t>EFF~DE2~2019</t>
  </si>
  <si>
    <t>DE2</t>
  </si>
  <si>
    <t>DEMAND~DE1</t>
  </si>
  <si>
    <t>DEMAND~DE2</t>
  </si>
  <si>
    <t>DE3</t>
  </si>
  <si>
    <t>STOCK~DE3</t>
  </si>
  <si>
    <t>EFF~DE3</t>
  </si>
  <si>
    <t>STOCK~2015~DE3</t>
  </si>
  <si>
    <t>STOCK~2017~DE3</t>
  </si>
  <si>
    <t>ACTBND~LO~DE3</t>
  </si>
  <si>
    <t>ACTBND~LO~DE3~2015</t>
  </si>
  <si>
    <t>ACTBND~LO~DE3~2017</t>
  </si>
  <si>
    <t>ACTBND~LO~DE3~2100</t>
  </si>
  <si>
    <t>ACTBND~LO~DE3~0</t>
  </si>
  <si>
    <t>EFF~DE3~2015</t>
  </si>
  <si>
    <t>EFF~DE3~2018</t>
  </si>
  <si>
    <t>EFF~DE3~2019</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</si>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</sst>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2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sz val="10"/>
      <name val="Arial"/>
    </font>
    <font>
      <b/>
      <sz val="9"/>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2">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cellStyleXfs>
  <cellXfs count="695">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1" fillId="0" borderId="0" xfId="0" applyFon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2" fontId="95" fillId="0" borderId="83" xfId="0" applyNumberFormat="1" applyFont="1" applyBorder="1"/>
    <xf numFmtId="2" fontId="95" fillId="0" borderId="65" xfId="0" applyNumberFormat="1" applyFont="1" applyBorder="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178" fontId="9" fillId="40" borderId="0" xfId="0" applyNumberFormat="1" applyFont="1" applyFill="1" applyBorder="1"/>
    <xf numFmtId="178" fontId="8"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xf numFmtId="0" fontId="68" fillId="33" borderId="0" xfId="0" applyFont="1" applyFill="1" applyBorder="1" applyAlignment="1">
      <alignment horizontal="center"/>
    </xf>
    <xf numFmtId="0" fontId="0" fillId="28" borderId="0" xfId="0" applyFill="1" applyAlignment="1">
      <alignment horizontal="center"/>
    </xf>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E4" sqref="E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115</v>
      </c>
      <c r="B3" s="91" t="s">
        <v>96</v>
      </c>
      <c r="C3" s="91" t="s">
        <v>116</v>
      </c>
      <c r="D3" s="91" t="s">
        <v>117</v>
      </c>
      <c r="E3" s="91" t="s">
        <v>118</v>
      </c>
    </row>
    <row r="4" spans="1:6" ht="13">
      <c r="A4" s="291">
        <v>44300</v>
      </c>
      <c r="B4" s="292" t="s">
        <v>182</v>
      </c>
      <c r="C4" s="292"/>
      <c r="D4" s="293"/>
      <c r="E4" s="294" t="s">
        <v>183</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9" workbookViewId="0">
      <selection activeCell="C12" sqref="C12"/>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126</v>
      </c>
    </row>
    <row r="3" spans="2:3">
      <c r="B3" s="139" t="s">
        <v>127</v>
      </c>
      <c r="C3" s="138" t="s">
        <v>134</v>
      </c>
    </row>
    <row r="4" spans="2:3">
      <c r="B4" s="139" t="s">
        <v>128</v>
      </c>
      <c r="C4" s="138" t="s">
        <v>135</v>
      </c>
    </row>
    <row r="5" spans="2:3">
      <c r="B5" s="139"/>
    </row>
    <row r="6" spans="2:3">
      <c r="B6" s="139" t="s">
        <v>129</v>
      </c>
      <c r="C6" s="637" t="s">
        <v>876</v>
      </c>
    </row>
    <row r="7" spans="2:3">
      <c r="B7" s="139"/>
    </row>
    <row r="8" spans="2:3">
      <c r="B8" s="140" t="s">
        <v>130</v>
      </c>
    </row>
    <row r="9" spans="2:3">
      <c r="B9" s="139"/>
    </row>
    <row r="13" spans="2:3">
      <c r="B13" s="142" t="s">
        <v>119</v>
      </c>
      <c r="C13" s="138" t="s">
        <v>131</v>
      </c>
    </row>
    <row r="14" spans="2:3">
      <c r="B14" s="142" t="s">
        <v>139</v>
      </c>
      <c r="C14" s="138" t="s">
        <v>140</v>
      </c>
    </row>
    <row r="15" spans="2:3">
      <c r="B15" s="142" t="s">
        <v>809</v>
      </c>
      <c r="C15" s="560" t="s">
        <v>810</v>
      </c>
    </row>
    <row r="16" spans="2:3">
      <c r="B16" s="142" t="s">
        <v>273</v>
      </c>
      <c r="C16" s="560" t="s">
        <v>811</v>
      </c>
    </row>
    <row r="17" spans="2:3">
      <c r="B17" s="142" t="s">
        <v>120</v>
      </c>
      <c r="C17" s="138" t="s">
        <v>141</v>
      </c>
    </row>
    <row r="18" spans="2:3">
      <c r="B18" s="142" t="s">
        <v>142</v>
      </c>
      <c r="C18" s="138" t="s">
        <v>143</v>
      </c>
    </row>
    <row r="19" spans="2:3">
      <c r="B19" s="142" t="s">
        <v>144</v>
      </c>
      <c r="C19" s="138" t="s">
        <v>146</v>
      </c>
    </row>
    <row r="20" spans="2:3">
      <c r="B20" s="142" t="s">
        <v>877</v>
      </c>
      <c r="C20" s="138" t="s">
        <v>145</v>
      </c>
    </row>
    <row r="21" spans="2:3">
      <c r="B21" s="142" t="s">
        <v>132</v>
      </c>
      <c r="C21" s="138" t="s">
        <v>133</v>
      </c>
    </row>
    <row r="22" spans="2:3">
      <c r="B22" s="563" t="s">
        <v>812</v>
      </c>
      <c r="C22" s="560" t="s">
        <v>816</v>
      </c>
    </row>
    <row r="23" spans="2:3">
      <c r="B23" s="563" t="s">
        <v>813</v>
      </c>
      <c r="C23" s="560" t="s">
        <v>815</v>
      </c>
    </row>
    <row r="24" spans="2:3">
      <c r="B24" s="562" t="s">
        <v>206</v>
      </c>
      <c r="C24" s="560" t="s">
        <v>817</v>
      </c>
    </row>
    <row r="25" spans="2:3">
      <c r="B25" s="562" t="s">
        <v>814</v>
      </c>
      <c r="C25" s="560" t="s">
        <v>818</v>
      </c>
    </row>
    <row r="26" spans="2:3">
      <c r="B26" s="561" t="s">
        <v>876</v>
      </c>
      <c r="C26" s="138" t="s">
        <v>138</v>
      </c>
    </row>
    <row r="27" spans="2:3">
      <c r="B27" s="561" t="s">
        <v>163</v>
      </c>
      <c r="C27" s="186" t="s">
        <v>164</v>
      </c>
    </row>
    <row r="28" spans="2:3">
      <c r="B28" s="561" t="s">
        <v>136</v>
      </c>
      <c r="C28" s="138" t="s">
        <v>137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topLeftCell="A28" zoomScale="55" zoomScaleNormal="55" workbookViewId="0">
      <selection activeCell="C28" sqref="C28"/>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39" t="s">
        <v>769</v>
      </c>
      <c r="C2" s="539" t="s">
        <v>876</v>
      </c>
      <c r="D2" s="106" t="s">
        <v>788</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6"/>
      <c r="K5" s="127"/>
      <c r="L5" s="296" t="s">
        <v>743</v>
      </c>
      <c r="M5" s="296" t="s">
        <v>744</v>
      </c>
      <c r="N5" s="296" t="s">
        <v>745</v>
      </c>
      <c r="O5" s="296" t="s">
        <v>746</v>
      </c>
      <c r="P5" s="296" t="s">
        <v>768</v>
      </c>
      <c r="Q5" s="296" t="s">
        <v>783</v>
      </c>
      <c r="R5" s="296" t="s">
        <v>786</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Residential Heating Urban Detached Building  Demand</v>
      </c>
      <c r="E7" s="68" t="s">
        <v>46</v>
      </c>
      <c r="F7" s="69"/>
      <c r="G7" s="64"/>
      <c r="H7" s="64"/>
      <c r="I7" s="64"/>
      <c r="J7" s="507"/>
      <c r="K7" s="126"/>
      <c r="L7" s="126" t="s">
        <v>739</v>
      </c>
      <c r="M7" s="127" t="s">
        <v>102</v>
      </c>
      <c r="N7" s="127" t="s">
        <v>714</v>
      </c>
      <c r="O7" s="127" t="s">
        <v>744</v>
      </c>
      <c r="P7" s="126"/>
      <c r="Q7" s="126"/>
      <c r="R7" s="126" t="s">
        <v>787</v>
      </c>
      <c r="S7" s="126"/>
      <c r="T7" s="126"/>
      <c r="U7" s="126"/>
      <c r="V7" s="126"/>
      <c r="W7" s="126"/>
      <c r="X7" s="126"/>
      <c r="Y7" s="126"/>
      <c r="Z7" s="126"/>
      <c r="AA7" s="126"/>
    </row>
    <row r="8" spans="2:27">
      <c r="B8" s="64"/>
      <c r="C8" s="152" t="str">
        <f t="shared" ref="C8:C17" si="1">LEFT($C$2,1)&amp;LEFT(L8,1)&amp;LEFT(N8,1)&amp;LEFT(M8,1)&amp;LEFT(O8,1)&amp;LEFT(P8,1)&amp;Q8</f>
        <v>CHRDB</v>
      </c>
      <c r="D8" s="67" t="str">
        <f t="shared" si="0"/>
        <v>Residential Heating Rural Detached Building  Demand</v>
      </c>
      <c r="E8" s="68" t="s">
        <v>46</v>
      </c>
      <c r="F8" s="69"/>
      <c r="G8" s="64"/>
      <c r="H8" s="64"/>
      <c r="I8" s="64"/>
      <c r="J8" s="507"/>
      <c r="K8" s="126"/>
      <c r="L8" s="126" t="s">
        <v>739</v>
      </c>
      <c r="M8" s="127" t="s">
        <v>102</v>
      </c>
      <c r="N8" s="127" t="s">
        <v>715</v>
      </c>
      <c r="O8" s="127" t="s">
        <v>744</v>
      </c>
      <c r="P8" s="126"/>
      <c r="Q8" s="126"/>
      <c r="R8" s="126" t="s">
        <v>787</v>
      </c>
      <c r="S8" s="126"/>
      <c r="T8" s="126"/>
      <c r="U8" s="126"/>
      <c r="V8" s="126"/>
      <c r="W8" s="126"/>
      <c r="X8" s="126"/>
      <c r="Y8" s="126"/>
      <c r="Z8" s="126"/>
      <c r="AA8" s="126"/>
    </row>
    <row r="9" spans="2:27">
      <c r="B9" s="64"/>
      <c r="C9" s="152" t="str">
        <f t="shared" si="1"/>
        <v>CHUMB</v>
      </c>
      <c r="D9" s="67" t="str">
        <f t="shared" si="0"/>
        <v>Residential Heating Urban Multi Building  Demand</v>
      </c>
      <c r="E9" s="68" t="s">
        <v>46</v>
      </c>
      <c r="F9" s="69"/>
      <c r="G9" s="64"/>
      <c r="H9" s="64"/>
      <c r="I9" s="64"/>
      <c r="J9" s="507"/>
      <c r="K9" s="126"/>
      <c r="L9" s="126" t="s">
        <v>739</v>
      </c>
      <c r="M9" s="127" t="s">
        <v>721</v>
      </c>
      <c r="N9" s="127" t="s">
        <v>714</v>
      </c>
      <c r="O9" s="127" t="s">
        <v>744</v>
      </c>
      <c r="P9" s="126"/>
      <c r="Q9" s="126"/>
      <c r="R9" s="126" t="s">
        <v>787</v>
      </c>
      <c r="S9" s="126"/>
      <c r="T9" s="126"/>
      <c r="U9" s="126"/>
      <c r="V9" s="126"/>
      <c r="W9" s="126"/>
      <c r="X9" s="126"/>
      <c r="Y9" s="126"/>
      <c r="Z9" s="126"/>
      <c r="AA9" s="126"/>
    </row>
    <row r="10" spans="2:27">
      <c r="B10" s="491"/>
      <c r="C10" s="492" t="str">
        <f t="shared" si="1"/>
        <v>CHRMB</v>
      </c>
      <c r="D10" s="493" t="str">
        <f t="shared" si="0"/>
        <v>Residential Heating Rural Multi Building  Demand</v>
      </c>
      <c r="E10" s="488" t="s">
        <v>46</v>
      </c>
      <c r="F10" s="485"/>
      <c r="G10" s="491"/>
      <c r="H10" s="491"/>
      <c r="I10" s="491"/>
      <c r="J10" s="508"/>
      <c r="K10" s="127"/>
      <c r="L10" s="126" t="s">
        <v>739</v>
      </c>
      <c r="M10" s="127" t="s">
        <v>721</v>
      </c>
      <c r="N10" s="127" t="s">
        <v>715</v>
      </c>
      <c r="O10" s="127" t="s">
        <v>744</v>
      </c>
      <c r="P10" s="127"/>
      <c r="Q10" s="127"/>
      <c r="R10" s="126" t="s">
        <v>787</v>
      </c>
      <c r="S10" s="127"/>
      <c r="T10" s="127"/>
      <c r="U10" s="127"/>
      <c r="V10" s="127"/>
      <c r="W10" s="127"/>
      <c r="X10" s="127"/>
      <c r="Y10" s="127"/>
      <c r="Z10" s="127"/>
      <c r="AA10" s="127"/>
    </row>
    <row r="11" spans="2:27">
      <c r="B11" s="77"/>
      <c r="C11" s="152" t="str">
        <f t="shared" si="1"/>
        <v>CCUDB</v>
      </c>
      <c r="D11" s="67" t="str">
        <f t="shared" si="0"/>
        <v>Residential Cooling Urban Detached Building  Demand</v>
      </c>
      <c r="E11" s="68" t="s">
        <v>46</v>
      </c>
      <c r="F11" s="78"/>
      <c r="G11" s="77"/>
      <c r="H11" s="77"/>
      <c r="I11" s="77"/>
      <c r="J11" s="509"/>
      <c r="K11" s="127"/>
      <c r="L11" s="127" t="s">
        <v>273</v>
      </c>
      <c r="M11" s="127" t="s">
        <v>102</v>
      </c>
      <c r="N11" s="127" t="s">
        <v>714</v>
      </c>
      <c r="O11" s="127" t="s">
        <v>744</v>
      </c>
      <c r="P11" s="127"/>
      <c r="Q11" s="127"/>
      <c r="R11" s="126" t="s">
        <v>787</v>
      </c>
      <c r="S11" s="127"/>
      <c r="T11" s="127"/>
      <c r="U11" s="127"/>
      <c r="V11" s="127"/>
      <c r="W11" s="127"/>
      <c r="X11" s="127"/>
      <c r="Y11" s="127"/>
      <c r="Z11" s="127"/>
      <c r="AA11" s="127"/>
    </row>
    <row r="12" spans="2:27">
      <c r="B12" s="77"/>
      <c r="C12" s="152" t="str">
        <f t="shared" si="1"/>
        <v>CCRDB</v>
      </c>
      <c r="D12" s="67" t="str">
        <f t="shared" si="0"/>
        <v>Residential Cooling Rural Detached Building  Demand</v>
      </c>
      <c r="E12" s="68" t="s">
        <v>46</v>
      </c>
      <c r="F12" s="78"/>
      <c r="G12" s="77"/>
      <c r="H12" s="77"/>
      <c r="I12" s="77"/>
      <c r="J12" s="509"/>
      <c r="K12" s="127"/>
      <c r="L12" s="127" t="s">
        <v>273</v>
      </c>
      <c r="M12" s="127" t="s">
        <v>102</v>
      </c>
      <c r="N12" s="127" t="s">
        <v>715</v>
      </c>
      <c r="O12" s="127" t="s">
        <v>744</v>
      </c>
      <c r="P12" s="127"/>
      <c r="Q12" s="127"/>
      <c r="R12" s="126" t="s">
        <v>787</v>
      </c>
      <c r="S12" s="127"/>
      <c r="T12" s="127"/>
      <c r="U12" s="127"/>
      <c r="V12" s="127"/>
      <c r="W12" s="127"/>
      <c r="X12" s="127"/>
      <c r="Y12" s="127"/>
      <c r="Z12" s="127"/>
      <c r="AA12" s="127"/>
    </row>
    <row r="13" spans="2:27">
      <c r="B13" s="77"/>
      <c r="C13" s="152" t="str">
        <f t="shared" si="1"/>
        <v>CCUMB</v>
      </c>
      <c r="D13" s="67" t="str">
        <f t="shared" si="0"/>
        <v>Residential Cooling Urban Multi Building  Demand</v>
      </c>
      <c r="E13" s="68" t="s">
        <v>46</v>
      </c>
      <c r="F13" s="78"/>
      <c r="G13" s="77"/>
      <c r="H13" s="77"/>
      <c r="I13" s="77"/>
      <c r="J13" s="509"/>
      <c r="K13" s="127"/>
      <c r="L13" s="127" t="s">
        <v>273</v>
      </c>
      <c r="M13" s="127" t="s">
        <v>721</v>
      </c>
      <c r="N13" s="127" t="s">
        <v>714</v>
      </c>
      <c r="O13" s="127" t="s">
        <v>744</v>
      </c>
      <c r="P13" s="127"/>
      <c r="Q13" s="127"/>
      <c r="R13" s="126" t="s">
        <v>787</v>
      </c>
      <c r="S13" s="127"/>
      <c r="T13" s="127"/>
      <c r="U13" s="127"/>
      <c r="V13" s="127"/>
      <c r="W13" s="127"/>
      <c r="X13" s="127"/>
      <c r="Y13" s="127"/>
      <c r="Z13" s="127"/>
      <c r="AA13" s="127"/>
    </row>
    <row r="14" spans="2:27">
      <c r="B14" s="491"/>
      <c r="C14" s="492" t="str">
        <f t="shared" si="1"/>
        <v>CCRMB</v>
      </c>
      <c r="D14" s="493" t="str">
        <f t="shared" si="0"/>
        <v>Residential Cooling Rural Multi Building  Demand</v>
      </c>
      <c r="E14" s="488" t="s">
        <v>46</v>
      </c>
      <c r="F14" s="485"/>
      <c r="G14" s="491"/>
      <c r="H14" s="491"/>
      <c r="I14" s="491"/>
      <c r="J14" s="508"/>
      <c r="K14" s="127"/>
      <c r="L14" s="127" t="s">
        <v>273</v>
      </c>
      <c r="M14" s="127" t="s">
        <v>721</v>
      </c>
      <c r="N14" s="127" t="s">
        <v>715</v>
      </c>
      <c r="O14" s="127" t="s">
        <v>744</v>
      </c>
      <c r="P14" s="127"/>
      <c r="Q14" s="127"/>
      <c r="R14" s="126" t="s">
        <v>787</v>
      </c>
      <c r="S14" s="127"/>
      <c r="T14" s="127"/>
      <c r="U14" s="127"/>
      <c r="V14" s="127"/>
      <c r="W14" s="127"/>
      <c r="X14" s="127"/>
      <c r="Y14" s="127"/>
      <c r="Z14" s="127"/>
      <c r="AA14" s="127"/>
    </row>
    <row r="15" spans="2:27">
      <c r="B15" s="77"/>
      <c r="C15" s="152" t="str">
        <f t="shared" si="1"/>
        <v>CWDEM</v>
      </c>
      <c r="D15" s="542" t="str">
        <f t="shared" si="0"/>
        <v>Residential Water Hot     Demand</v>
      </c>
      <c r="E15" s="133" t="s">
        <v>44</v>
      </c>
      <c r="F15" s="78"/>
      <c r="G15" s="77"/>
      <c r="H15" s="77"/>
      <c r="I15" s="77"/>
      <c r="J15" s="509"/>
      <c r="K15" s="127"/>
      <c r="L15" s="127" t="s">
        <v>789</v>
      </c>
      <c r="M15" s="127"/>
      <c r="N15" s="127"/>
      <c r="P15" s="127"/>
      <c r="Q15" s="127" t="s">
        <v>17</v>
      </c>
      <c r="R15" s="126" t="s">
        <v>787</v>
      </c>
      <c r="S15" s="127"/>
      <c r="T15" s="127"/>
      <c r="U15" s="127"/>
      <c r="V15" s="127"/>
      <c r="W15" s="127"/>
      <c r="X15" s="127"/>
      <c r="Y15" s="127"/>
      <c r="Z15" s="127"/>
      <c r="AA15" s="127"/>
    </row>
    <row r="16" spans="2:27">
      <c r="B16" s="77"/>
      <c r="C16" s="152" t="str">
        <f t="shared" si="1"/>
        <v>CADEM</v>
      </c>
      <c r="D16" s="542" t="str">
        <f t="shared" si="0"/>
        <v>Residential Appliances     Demand</v>
      </c>
      <c r="E16" s="133" t="s">
        <v>44</v>
      </c>
      <c r="F16" s="78"/>
      <c r="G16" s="77"/>
      <c r="H16" s="77"/>
      <c r="I16" s="77"/>
      <c r="J16" s="509"/>
      <c r="K16" s="127"/>
      <c r="L16" s="127" t="s">
        <v>272</v>
      </c>
      <c r="M16" s="127"/>
      <c r="N16" s="127"/>
      <c r="P16" s="127"/>
      <c r="Q16" s="127" t="s">
        <v>17</v>
      </c>
      <c r="R16" s="126" t="s">
        <v>787</v>
      </c>
      <c r="S16" s="127"/>
      <c r="T16" s="127"/>
      <c r="U16" s="127"/>
      <c r="V16" s="127"/>
      <c r="W16" s="127"/>
      <c r="X16" s="127"/>
      <c r="Y16" s="127"/>
      <c r="Z16" s="127"/>
      <c r="AA16" s="127"/>
    </row>
    <row r="17" spans="2:27">
      <c r="B17" s="491"/>
      <c r="C17" s="492" t="str">
        <f t="shared" si="1"/>
        <v>CFDEM</v>
      </c>
      <c r="D17" s="493" t="str">
        <f t="shared" si="0"/>
        <v>Residential Food (cooking)     Demand</v>
      </c>
      <c r="E17" s="486" t="s">
        <v>44</v>
      </c>
      <c r="F17" s="485"/>
      <c r="G17" s="491"/>
      <c r="H17" s="491"/>
      <c r="I17" s="491"/>
      <c r="J17" s="508"/>
      <c r="K17" s="127"/>
      <c r="L17" s="127" t="s">
        <v>790</v>
      </c>
      <c r="M17" s="127"/>
      <c r="N17" s="127"/>
      <c r="P17" s="127"/>
      <c r="Q17" s="127" t="s">
        <v>17</v>
      </c>
      <c r="R17" s="126" t="s">
        <v>787</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Residential      Natural Gas</v>
      </c>
      <c r="E18" s="68" t="s">
        <v>44</v>
      </c>
      <c r="F18" s="77"/>
      <c r="G18" s="77"/>
      <c r="H18" s="77"/>
      <c r="I18" s="77"/>
      <c r="J18" s="510"/>
      <c r="K18" s="3"/>
      <c r="M18" s="3"/>
      <c r="N18" s="3"/>
      <c r="O18" s="3"/>
      <c r="P18" s="3"/>
      <c r="Q18" s="127" t="s">
        <v>770</v>
      </c>
      <c r="R18" s="127" t="s">
        <v>791</v>
      </c>
      <c r="S18" s="3"/>
      <c r="T18" s="3"/>
      <c r="U18" s="3"/>
      <c r="V18" s="3"/>
      <c r="W18" s="3"/>
      <c r="X18" s="3"/>
      <c r="Y18" s="3"/>
      <c r="Z18" s="3"/>
      <c r="AA18" s="3"/>
    </row>
    <row r="19" spans="2:27" ht="15" customHeight="1">
      <c r="B19" s="596"/>
      <c r="C19" s="597" t="str">
        <f>$C$2&amp;LEFT(L19,1)&amp;LEFT(N19,1)&amp;LEFT(M19,1)&amp;LEFT(O19,1)&amp;LEFT(P19,1)&amp;Q19</f>
        <v>COMBGA</v>
      </c>
      <c r="D19" s="598" t="str">
        <f>$D$2&amp;" "&amp;L19&amp;" "&amp;N19&amp;" "&amp;M19&amp;" "&amp;O19&amp;" "&amp;P19&amp;" "&amp;R19</f>
        <v>Residential      Biogas</v>
      </c>
      <c r="E19" s="596" t="s">
        <v>44</v>
      </c>
      <c r="F19" s="598"/>
      <c r="G19" s="598"/>
      <c r="H19" s="598"/>
      <c r="I19" s="598"/>
      <c r="J19" s="599"/>
      <c r="K19" s="3"/>
      <c r="M19" s="3"/>
      <c r="N19" s="3"/>
      <c r="O19" s="3"/>
      <c r="P19" s="3"/>
      <c r="Q19" s="127" t="s">
        <v>861</v>
      </c>
      <c r="R19" s="127" t="s">
        <v>862</v>
      </c>
      <c r="S19" s="3"/>
      <c r="T19" s="3"/>
      <c r="U19" s="3"/>
      <c r="V19" s="3"/>
      <c r="W19" s="3"/>
      <c r="X19" s="3"/>
      <c r="Y19" s="3"/>
      <c r="Z19" s="3"/>
      <c r="AA19" s="3"/>
    </row>
    <row r="20" spans="2:27" ht="15" customHeight="1">
      <c r="B20" s="76"/>
      <c r="C20" s="152" t="str">
        <f t="shared" ref="C20:C38" si="3">$C$2&amp;LEFT(L20,1)&amp;LEFT(N20,1)&amp;LEFT(M20,1)&amp;LEFT(O20,1)&amp;LEFT(P20,1)&amp;Q20</f>
        <v>COMLPG</v>
      </c>
      <c r="D20" s="133" t="str">
        <f t="shared" si="2"/>
        <v>Residential      LPG</v>
      </c>
      <c r="E20" s="133" t="s">
        <v>44</v>
      </c>
      <c r="F20" s="77"/>
      <c r="G20" s="77"/>
      <c r="H20" s="77"/>
      <c r="I20" s="77"/>
      <c r="J20" s="510"/>
      <c r="K20" s="3"/>
      <c r="M20" s="3"/>
      <c r="N20" s="3"/>
      <c r="O20" s="3"/>
      <c r="P20" s="3"/>
      <c r="Q20" s="127" t="s">
        <v>771</v>
      </c>
      <c r="R20" s="127" t="s">
        <v>771</v>
      </c>
      <c r="S20" s="3"/>
      <c r="T20" s="3"/>
      <c r="U20" s="3"/>
      <c r="V20" s="3"/>
      <c r="W20" s="3"/>
      <c r="X20" s="3"/>
      <c r="Y20" s="3"/>
      <c r="Z20" s="3"/>
      <c r="AA20" s="3"/>
    </row>
    <row r="21" spans="2:27" ht="15" customHeight="1">
      <c r="B21" s="77"/>
      <c r="C21" s="152" t="str">
        <f t="shared" si="3"/>
        <v>COMDSL</v>
      </c>
      <c r="D21" s="133" t="str">
        <f t="shared" si="2"/>
        <v>Residential      Diesel</v>
      </c>
      <c r="E21" s="68" t="s">
        <v>44</v>
      </c>
      <c r="F21" s="77"/>
      <c r="G21" s="77"/>
      <c r="H21" s="77"/>
      <c r="I21" s="77"/>
      <c r="J21" s="510"/>
      <c r="K21" s="3"/>
      <c r="M21" s="3"/>
      <c r="N21" s="3"/>
      <c r="O21" s="3"/>
      <c r="P21" s="3"/>
      <c r="Q21" s="127" t="s">
        <v>772</v>
      </c>
      <c r="R21" s="127" t="s">
        <v>110</v>
      </c>
      <c r="S21" s="3"/>
      <c r="T21" s="3"/>
      <c r="U21" s="3"/>
      <c r="V21" s="3"/>
      <c r="W21" s="3"/>
      <c r="X21" s="3"/>
      <c r="Y21" s="3"/>
      <c r="Z21" s="3"/>
      <c r="AA21" s="3"/>
    </row>
    <row r="22" spans="2:27" ht="15" customHeight="1">
      <c r="B22" s="77"/>
      <c r="C22" s="152" t="str">
        <f t="shared" si="3"/>
        <v>COMGSL</v>
      </c>
      <c r="D22" s="133" t="str">
        <f t="shared" si="2"/>
        <v>Residential      Gasoline</v>
      </c>
      <c r="E22" s="68" t="s">
        <v>44</v>
      </c>
      <c r="F22" s="77"/>
      <c r="G22" s="77"/>
      <c r="H22" s="77"/>
      <c r="I22" s="77"/>
      <c r="J22" s="510"/>
      <c r="K22" s="3"/>
      <c r="M22" s="3"/>
      <c r="N22" s="3"/>
      <c r="O22" s="3"/>
      <c r="P22" s="3"/>
      <c r="Q22" s="127" t="s">
        <v>773</v>
      </c>
      <c r="R22" s="127" t="s">
        <v>792</v>
      </c>
      <c r="S22" s="3"/>
      <c r="T22" s="3"/>
      <c r="U22" s="3"/>
      <c r="V22" s="3"/>
      <c r="W22" s="3"/>
      <c r="X22" s="3"/>
      <c r="Y22" s="3"/>
      <c r="Z22" s="3"/>
      <c r="AA22" s="3"/>
    </row>
    <row r="23" spans="2:27" ht="15" customHeight="1">
      <c r="B23" s="77"/>
      <c r="C23" s="152" t="str">
        <f t="shared" si="3"/>
        <v>COMWPE</v>
      </c>
      <c r="D23" s="68" t="str">
        <f t="shared" si="2"/>
        <v>Residential      Wood pellets</v>
      </c>
      <c r="E23" s="68" t="s">
        <v>44</v>
      </c>
      <c r="F23" s="77"/>
      <c r="G23" s="77"/>
      <c r="H23" s="77"/>
      <c r="I23" s="77"/>
      <c r="J23" s="510"/>
      <c r="K23" s="3"/>
      <c r="M23" s="3"/>
      <c r="N23" s="3"/>
      <c r="O23" s="3"/>
      <c r="P23" s="3"/>
      <c r="Q23" s="127" t="s">
        <v>774</v>
      </c>
      <c r="R23" s="127" t="s">
        <v>793</v>
      </c>
      <c r="S23" s="3"/>
      <c r="T23" s="3"/>
      <c r="U23" s="3"/>
      <c r="V23" s="3"/>
      <c r="W23" s="3"/>
      <c r="X23" s="3"/>
      <c r="Y23" s="3"/>
      <c r="Z23" s="3"/>
      <c r="AA23" s="3"/>
    </row>
    <row r="24" spans="2:27" ht="15" customHeight="1">
      <c r="B24" s="77"/>
      <c r="C24" s="152" t="str">
        <f t="shared" si="3"/>
        <v>COMFIW</v>
      </c>
      <c r="D24" s="133" t="str">
        <f t="shared" si="2"/>
        <v>Residential      Fire wood</v>
      </c>
      <c r="E24" s="68" t="s">
        <v>44</v>
      </c>
      <c r="F24" s="77"/>
      <c r="G24" s="77"/>
      <c r="H24" s="77"/>
      <c r="I24" s="77"/>
      <c r="J24" s="509"/>
      <c r="K24" s="127"/>
      <c r="M24" s="127"/>
      <c r="N24" s="127"/>
      <c r="O24" s="127"/>
      <c r="P24" s="127"/>
      <c r="Q24" s="127" t="s">
        <v>775</v>
      </c>
      <c r="R24" s="127" t="s">
        <v>794</v>
      </c>
      <c r="S24" s="127"/>
      <c r="T24" s="127"/>
      <c r="U24" s="127"/>
      <c r="V24" s="127"/>
      <c r="W24" s="127"/>
      <c r="X24" s="127"/>
      <c r="Y24" s="127"/>
      <c r="Z24" s="127"/>
      <c r="AA24" s="127"/>
    </row>
    <row r="25" spans="2:27" ht="15" customHeight="1">
      <c r="B25" s="77"/>
      <c r="C25" s="152" t="str">
        <f t="shared" si="3"/>
        <v>COMCOA</v>
      </c>
      <c r="D25" s="78" t="str">
        <f t="shared" si="2"/>
        <v>Residential      Coal</v>
      </c>
      <c r="E25" s="68" t="s">
        <v>44</v>
      </c>
      <c r="F25" s="77"/>
      <c r="G25" s="77"/>
      <c r="H25" s="77"/>
      <c r="I25" s="77"/>
      <c r="J25" s="510"/>
      <c r="K25" s="3"/>
      <c r="M25" s="3"/>
      <c r="N25" s="3"/>
      <c r="O25" s="3"/>
      <c r="P25" s="3"/>
      <c r="Q25" s="127" t="s">
        <v>864</v>
      </c>
      <c r="R25" s="127" t="s">
        <v>865</v>
      </c>
      <c r="S25" s="3"/>
      <c r="T25" s="3"/>
      <c r="U25" s="3"/>
      <c r="V25" s="3"/>
      <c r="W25" s="3"/>
      <c r="X25" s="3"/>
      <c r="Y25" s="3"/>
      <c r="Z25" s="3"/>
      <c r="AA25" s="3"/>
    </row>
    <row r="26" spans="2:27" ht="15" customHeight="1">
      <c r="B26" s="77"/>
      <c r="C26" s="152" t="str">
        <f t="shared" si="3"/>
        <v>COMH2</v>
      </c>
      <c r="D26" s="78" t="str">
        <f t="shared" si="2"/>
        <v>Residential      Hydrogen</v>
      </c>
      <c r="E26" s="135" t="s">
        <v>44</v>
      </c>
      <c r="F26" s="77"/>
      <c r="G26" s="77"/>
      <c r="H26" s="77"/>
      <c r="I26" s="77"/>
      <c r="J26" s="511"/>
      <c r="K26" s="1"/>
      <c r="M26" s="1"/>
      <c r="N26" s="1"/>
      <c r="O26" s="1"/>
      <c r="P26" s="1"/>
      <c r="Q26" s="127" t="s">
        <v>167</v>
      </c>
      <c r="R26" s="127" t="s">
        <v>795</v>
      </c>
      <c r="S26" s="1"/>
      <c r="T26" s="1"/>
      <c r="U26" s="1"/>
      <c r="V26" s="1"/>
      <c r="W26" s="1"/>
      <c r="X26" s="1"/>
      <c r="Y26" s="1"/>
      <c r="Z26" s="1"/>
      <c r="AA26" s="1"/>
    </row>
    <row r="27" spans="2:27" ht="15" customHeight="1">
      <c r="B27" s="77"/>
      <c r="C27" s="152" t="str">
        <f t="shared" si="3"/>
        <v>COMSOL</v>
      </c>
      <c r="D27" s="78" t="str">
        <f t="shared" si="2"/>
        <v>Residential      Solar</v>
      </c>
      <c r="E27" s="68" t="s">
        <v>44</v>
      </c>
      <c r="F27" s="77"/>
      <c r="G27" s="77"/>
      <c r="H27" s="77"/>
      <c r="I27" s="77"/>
      <c r="J27" s="510"/>
      <c r="K27" s="3"/>
      <c r="M27" s="3"/>
      <c r="N27" s="3"/>
      <c r="O27" s="3"/>
      <c r="P27" s="3"/>
      <c r="Q27" s="127" t="s">
        <v>776</v>
      </c>
      <c r="R27" s="127" t="s">
        <v>796</v>
      </c>
      <c r="S27" s="3"/>
      <c r="T27" s="3"/>
      <c r="U27" s="3"/>
      <c r="V27" s="3"/>
      <c r="W27" s="3"/>
      <c r="X27" s="3"/>
      <c r="Y27" s="3"/>
      <c r="Z27" s="3"/>
      <c r="AA27" s="3"/>
    </row>
    <row r="28" spans="2:27" ht="15" customHeight="1">
      <c r="B28" s="77"/>
      <c r="C28" s="152" t="str">
        <f t="shared" ref="C28" si="4">$C$2&amp;LEFT(L28,1)&amp;LEFT(N28,1)&amp;LEFT(M28,1)&amp;LEFT(O28,1)&amp;LEFT(P28,1)&amp;Q28</f>
        <v>COMGEO</v>
      </c>
      <c r="D28" s="78" t="str">
        <f t="shared" ref="D28" si="5">$D$2&amp;" "&amp;L28&amp;" "&amp;N28&amp;" "&amp;M28&amp;" "&amp;O28&amp;" "&amp;P28&amp;" "&amp;R28</f>
        <v>Residential      Geothermal</v>
      </c>
      <c r="E28" s="68" t="s">
        <v>44</v>
      </c>
      <c r="F28" s="77"/>
      <c r="G28" s="77"/>
      <c r="H28" s="77"/>
      <c r="I28" s="77"/>
      <c r="J28" s="510"/>
      <c r="K28" s="3"/>
      <c r="M28" s="3"/>
      <c r="N28" s="3"/>
      <c r="O28" s="3"/>
      <c r="P28" s="3"/>
      <c r="Q28" s="127" t="s">
        <v>990</v>
      </c>
      <c r="R28" s="127" t="s">
        <v>908</v>
      </c>
      <c r="S28" s="3"/>
      <c r="T28" s="3"/>
      <c r="U28" s="3"/>
      <c r="V28" s="3"/>
      <c r="W28" s="3"/>
      <c r="X28" s="3"/>
      <c r="Y28" s="3"/>
      <c r="Z28" s="3"/>
      <c r="AA28" s="3"/>
    </row>
    <row r="29" spans="2:27" ht="15" customHeight="1">
      <c r="B29" s="77"/>
      <c r="C29" s="152" t="str">
        <f t="shared" si="3"/>
        <v>COMELCH</v>
      </c>
      <c r="D29" s="135" t="str">
        <f t="shared" si="2"/>
        <v>Residential      Electricity Heating</v>
      </c>
      <c r="E29" s="68" t="s">
        <v>44</v>
      </c>
      <c r="F29" s="77"/>
      <c r="G29" s="77" t="s">
        <v>98</v>
      </c>
      <c r="H29" s="77"/>
      <c r="I29" s="77" t="s">
        <v>99</v>
      </c>
      <c r="J29" s="510"/>
      <c r="K29" s="3"/>
      <c r="M29" s="3"/>
      <c r="N29" s="3"/>
      <c r="O29" s="3"/>
      <c r="P29" s="3"/>
      <c r="Q29" s="127" t="s">
        <v>777</v>
      </c>
      <c r="R29" s="127" t="s">
        <v>797</v>
      </c>
      <c r="S29" s="3"/>
      <c r="T29" s="3"/>
      <c r="U29" s="3"/>
      <c r="V29" s="3"/>
      <c r="W29" s="3"/>
      <c r="X29" s="3"/>
      <c r="Y29" s="3"/>
      <c r="Z29" s="3"/>
      <c r="AA29" s="3"/>
    </row>
    <row r="30" spans="2:27" ht="15" customHeight="1">
      <c r="B30" s="77"/>
      <c r="C30" s="152" t="str">
        <f t="shared" si="3"/>
        <v>COMELCC</v>
      </c>
      <c r="D30" s="135" t="str">
        <f t="shared" si="2"/>
        <v>Residential      Electricity Cooling</v>
      </c>
      <c r="E30" s="68" t="s">
        <v>44</v>
      </c>
      <c r="F30" s="77"/>
      <c r="G30" s="77" t="s">
        <v>98</v>
      </c>
      <c r="H30" s="77"/>
      <c r="I30" s="77" t="s">
        <v>99</v>
      </c>
      <c r="J30" s="510"/>
      <c r="K30" s="3"/>
      <c r="M30" s="3"/>
      <c r="N30" s="3"/>
      <c r="O30" s="3"/>
      <c r="P30" s="3"/>
      <c r="Q30" s="127" t="s">
        <v>95</v>
      </c>
      <c r="R30" s="127" t="s">
        <v>798</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Residential      Electricity Appliances</v>
      </c>
      <c r="E31" s="68" t="s">
        <v>44</v>
      </c>
      <c r="F31" s="77"/>
      <c r="G31" s="77" t="s">
        <v>98</v>
      </c>
      <c r="H31" s="77"/>
      <c r="I31" s="77" t="s">
        <v>99</v>
      </c>
      <c r="J31" s="510"/>
      <c r="K31" s="3"/>
      <c r="M31" s="3"/>
      <c r="N31" s="3"/>
      <c r="O31" s="3"/>
      <c r="P31" s="3"/>
      <c r="Q31" s="127" t="s">
        <v>778</v>
      </c>
      <c r="R31" s="127" t="s">
        <v>799</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Residential      Electricity Cooking</v>
      </c>
      <c r="E32" s="68" t="s">
        <v>44</v>
      </c>
      <c r="F32" s="77"/>
      <c r="G32" s="77" t="s">
        <v>98</v>
      </c>
      <c r="H32" s="77"/>
      <c r="I32" s="77" t="s">
        <v>99</v>
      </c>
      <c r="J32" s="510"/>
      <c r="K32" s="3"/>
      <c r="M32" s="3"/>
      <c r="N32" s="3"/>
      <c r="O32" s="3"/>
      <c r="P32" s="3"/>
      <c r="Q32" s="127" t="s">
        <v>867</v>
      </c>
      <c r="R32" s="127" t="s">
        <v>868</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Residential      Electricity Water Heating</v>
      </c>
      <c r="E33" s="68" t="s">
        <v>44</v>
      </c>
      <c r="F33" s="77"/>
      <c r="G33" s="77" t="s">
        <v>98</v>
      </c>
      <c r="H33" s="77"/>
      <c r="I33" s="77" t="s">
        <v>99</v>
      </c>
      <c r="J33" s="510"/>
      <c r="K33" s="3"/>
      <c r="M33" s="3"/>
      <c r="N33" s="3"/>
      <c r="O33" s="3"/>
      <c r="P33" s="3"/>
      <c r="Q33" s="127" t="s">
        <v>872</v>
      </c>
      <c r="R33" s="127" t="s">
        <v>871</v>
      </c>
      <c r="S33" s="3"/>
      <c r="T33" s="3"/>
      <c r="U33" s="3"/>
      <c r="V33" s="3"/>
      <c r="W33" s="3"/>
      <c r="X33" s="3"/>
      <c r="Y33" s="3"/>
      <c r="Z33" s="3"/>
      <c r="AA33" s="3"/>
    </row>
    <row r="34" spans="1:30" ht="15" customHeight="1">
      <c r="B34" s="77"/>
      <c r="C34" s="152" t="str">
        <f t="shared" si="3"/>
        <v>COMHCE</v>
      </c>
      <c r="D34" s="76" t="str">
        <f t="shared" si="2"/>
        <v>Residential      District heating Central</v>
      </c>
      <c r="E34" s="68" t="s">
        <v>44</v>
      </c>
      <c r="F34" s="77"/>
      <c r="G34" s="135" t="s">
        <v>98</v>
      </c>
      <c r="H34" s="77"/>
      <c r="I34" s="77"/>
      <c r="J34" s="509"/>
      <c r="K34" s="127"/>
      <c r="M34" s="127"/>
      <c r="N34" s="127"/>
      <c r="O34" s="127"/>
      <c r="P34" s="127"/>
      <c r="Q34" s="127" t="s">
        <v>779</v>
      </c>
      <c r="R34" s="127" t="s">
        <v>800</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Residential      District heating SubUrban</v>
      </c>
      <c r="E35" s="68" t="s">
        <v>44</v>
      </c>
      <c r="F35" s="77"/>
      <c r="G35" s="135" t="s">
        <v>98</v>
      </c>
      <c r="H35" s="77"/>
      <c r="I35" s="77"/>
      <c r="J35" s="509"/>
      <c r="K35" s="127"/>
      <c r="M35" s="127"/>
      <c r="N35" s="127"/>
      <c r="O35" s="127"/>
      <c r="P35" s="127"/>
      <c r="Q35" s="127" t="s">
        <v>824</v>
      </c>
      <c r="R35" s="127" t="s">
        <v>825</v>
      </c>
      <c r="S35" s="127"/>
      <c r="T35" s="127"/>
      <c r="U35" s="127"/>
      <c r="V35" s="127"/>
      <c r="W35" s="127"/>
      <c r="X35" s="127"/>
      <c r="Y35" s="127"/>
      <c r="Z35" s="127"/>
      <c r="AA35" s="127"/>
    </row>
    <row r="36" spans="1:30" ht="15" customHeight="1">
      <c r="B36" s="77"/>
      <c r="C36" s="152" t="str">
        <f t="shared" si="3"/>
        <v>COMHDE</v>
      </c>
      <c r="D36" s="76" t="str">
        <f t="shared" si="2"/>
        <v>Residential      District heating Decentral</v>
      </c>
      <c r="E36" s="68" t="s">
        <v>44</v>
      </c>
      <c r="F36" s="78"/>
      <c r="G36" s="135" t="s">
        <v>98</v>
      </c>
      <c r="H36" s="77"/>
      <c r="I36" s="77"/>
      <c r="J36" s="509"/>
      <c r="K36" s="127"/>
      <c r="M36" s="127"/>
      <c r="N36" s="127"/>
      <c r="O36" s="127"/>
      <c r="P36" s="127"/>
      <c r="Q36" s="127" t="s">
        <v>780</v>
      </c>
      <c r="R36" s="127" t="s">
        <v>801</v>
      </c>
      <c r="S36" s="127"/>
      <c r="T36" s="127"/>
      <c r="U36" s="127"/>
      <c r="V36" s="127"/>
      <c r="W36" s="127"/>
      <c r="X36" s="127"/>
      <c r="Y36" s="127"/>
      <c r="Z36" s="127"/>
      <c r="AA36" s="127"/>
    </row>
    <row r="37" spans="1:30" ht="15" customHeight="1">
      <c r="B37" s="77"/>
      <c r="C37" s="152" t="str">
        <f t="shared" si="3"/>
        <v>COMSNG</v>
      </c>
      <c r="D37" s="76" t="str">
        <f t="shared" si="2"/>
        <v>Residential      Synthetic Natural Gas</v>
      </c>
      <c r="E37" s="68" t="s">
        <v>44</v>
      </c>
      <c r="F37" s="78"/>
      <c r="G37" s="77"/>
      <c r="H37" s="77"/>
      <c r="I37" s="77"/>
      <c r="J37" s="509"/>
      <c r="K37" s="127"/>
      <c r="M37" s="127"/>
      <c r="N37" s="127"/>
      <c r="O37" s="127"/>
      <c r="P37" s="127"/>
      <c r="Q37" s="127" t="s">
        <v>781</v>
      </c>
      <c r="R37" s="127" t="s">
        <v>802</v>
      </c>
      <c r="S37" s="127"/>
      <c r="T37" s="127"/>
      <c r="U37" s="127"/>
      <c r="V37" s="127"/>
      <c r="W37" s="127"/>
      <c r="X37" s="127"/>
      <c r="Y37" s="127"/>
      <c r="Z37" s="127"/>
      <c r="AA37" s="127"/>
      <c r="AD37" t="s">
        <v>124</v>
      </c>
    </row>
    <row r="38" spans="1:30" ht="15" customHeight="1">
      <c r="B38" s="77"/>
      <c r="C38" s="152" t="str">
        <f t="shared" si="3"/>
        <v>COMDSB</v>
      </c>
      <c r="D38" s="76" t="str">
        <f t="shared" si="2"/>
        <v>Residential      Renewable Diesel</v>
      </c>
      <c r="E38" s="68" t="s">
        <v>44</v>
      </c>
      <c r="F38" s="78"/>
      <c r="G38" s="77"/>
      <c r="H38" s="77"/>
      <c r="I38" s="77"/>
      <c r="J38" s="509"/>
      <c r="K38" s="127"/>
      <c r="M38" s="127"/>
      <c r="N38" s="127"/>
      <c r="O38" s="127"/>
      <c r="P38" s="127"/>
      <c r="Q38" s="127" t="s">
        <v>782</v>
      </c>
      <c r="R38" s="127" t="s">
        <v>803</v>
      </c>
      <c r="S38" s="127"/>
      <c r="T38" s="127"/>
      <c r="U38" s="127"/>
      <c r="V38" s="127"/>
      <c r="W38" s="127"/>
      <c r="X38" s="127"/>
      <c r="Y38" s="127"/>
      <c r="Z38" s="127"/>
      <c r="AA38" s="127"/>
      <c r="AD38" t="s">
        <v>125</v>
      </c>
    </row>
    <row r="39" spans="1:30" ht="15" customHeight="1">
      <c r="B39" s="77"/>
      <c r="C39" s="152" t="str">
        <f t="shared" ref="C39:C59" si="7">$C$2&amp;LEFT(L39,1)&amp;LEFT(N39,1)&amp;LEFT(M39,1)&amp;LEFT(O39,1)&amp;LEFT(P39,1)&amp;Q39</f>
        <v>COMHUDX</v>
      </c>
      <c r="D39" s="76" t="str">
        <f t="shared" si="2"/>
        <v xml:space="preserve">Residential Heating Urban Detached Xhanger DH  </v>
      </c>
      <c r="E39" s="68" t="s">
        <v>44</v>
      </c>
      <c r="F39" s="77"/>
      <c r="G39" s="74" t="s">
        <v>98</v>
      </c>
      <c r="H39" s="77"/>
      <c r="I39" s="77"/>
      <c r="J39" s="510"/>
      <c r="K39" s="3"/>
      <c r="L39" s="127" t="s">
        <v>739</v>
      </c>
      <c r="M39" s="127" t="s">
        <v>102</v>
      </c>
      <c r="N39" s="127" t="s">
        <v>714</v>
      </c>
      <c r="O39" s="127" t="s">
        <v>784</v>
      </c>
      <c r="P39" s="3"/>
      <c r="Q39" s="3"/>
      <c r="R39" s="3"/>
      <c r="S39" s="3"/>
      <c r="T39" s="3"/>
      <c r="U39" s="3"/>
      <c r="V39" s="3"/>
      <c r="W39" s="3"/>
      <c r="X39" s="3"/>
      <c r="Y39" s="3"/>
      <c r="Z39" s="3"/>
      <c r="AA39" s="3"/>
      <c r="AC39" s="11"/>
      <c r="AD39" t="s">
        <v>878</v>
      </c>
    </row>
    <row r="40" spans="1:30" ht="15" customHeight="1">
      <c r="B40" s="77"/>
      <c r="C40" s="152" t="str">
        <f t="shared" si="7"/>
        <v>COMHRDX</v>
      </c>
      <c r="D40" s="76" t="str">
        <f t="shared" si="2"/>
        <v xml:space="preserve">Residential Heating Rural Detached Xhanger DH  </v>
      </c>
      <c r="E40" s="68" t="s">
        <v>44</v>
      </c>
      <c r="F40" s="77"/>
      <c r="G40" s="74" t="s">
        <v>98</v>
      </c>
      <c r="H40" s="77"/>
      <c r="I40" s="77"/>
      <c r="J40" s="509"/>
      <c r="K40" s="127"/>
      <c r="L40" s="127" t="s">
        <v>739</v>
      </c>
      <c r="M40" s="127" t="s">
        <v>102</v>
      </c>
      <c r="N40" s="127" t="s">
        <v>715</v>
      </c>
      <c r="O40" s="127" t="s">
        <v>784</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Residential Heating Urban Multi Xhanger DH  </v>
      </c>
      <c r="E41" s="68" t="s">
        <v>44</v>
      </c>
      <c r="F41" s="78"/>
      <c r="G41" s="74" t="s">
        <v>98</v>
      </c>
      <c r="H41" s="77"/>
      <c r="I41" s="77"/>
      <c r="J41" s="509"/>
      <c r="K41" s="127"/>
      <c r="L41" s="127" t="s">
        <v>739</v>
      </c>
      <c r="M41" s="127" t="s">
        <v>721</v>
      </c>
      <c r="N41" s="127" t="s">
        <v>714</v>
      </c>
      <c r="O41" s="127" t="s">
        <v>784</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Residential Heating Rural Multi Xhanger DH  </v>
      </c>
      <c r="E42" s="68" t="s">
        <v>44</v>
      </c>
      <c r="F42" s="78"/>
      <c r="G42" s="74" t="s">
        <v>98</v>
      </c>
      <c r="H42" s="77"/>
      <c r="I42" s="77"/>
      <c r="J42" s="509"/>
      <c r="K42" s="127"/>
      <c r="L42" s="127" t="s">
        <v>739</v>
      </c>
      <c r="M42" s="127" t="s">
        <v>721</v>
      </c>
      <c r="N42" s="127" t="s">
        <v>715</v>
      </c>
      <c r="O42" s="127" t="s">
        <v>784</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Residential Heating Urban Detached Boilers  </v>
      </c>
      <c r="E43" s="68" t="s">
        <v>44</v>
      </c>
      <c r="F43" s="78"/>
      <c r="G43" s="74" t="s">
        <v>98</v>
      </c>
      <c r="H43" s="77"/>
      <c r="I43" s="77"/>
      <c r="J43" s="509"/>
      <c r="K43" s="127"/>
      <c r="L43" s="127" t="s">
        <v>739</v>
      </c>
      <c r="M43" s="127" t="s">
        <v>102</v>
      </c>
      <c r="N43" s="127" t="s">
        <v>714</v>
      </c>
      <c r="O43" s="127" t="s">
        <v>120</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Residential Heating Rural Detached Boilers  COMHUDX,COMHUDB,COMHUDBE,COMHSAV,COMHUDSL</v>
      </c>
      <c r="E44" s="68" t="s">
        <v>44</v>
      </c>
      <c r="F44" s="78"/>
      <c r="G44" s="74" t="s">
        <v>98</v>
      </c>
      <c r="H44" s="77"/>
      <c r="I44" s="77"/>
      <c r="J44" s="509"/>
      <c r="K44" s="127"/>
      <c r="L44" s="127" t="s">
        <v>739</v>
      </c>
      <c r="M44" s="127" t="s">
        <v>102</v>
      </c>
      <c r="N44" s="127" t="s">
        <v>715</v>
      </c>
      <c r="O44" s="127" t="s">
        <v>120</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Residential Heating Urban Multi Boilers  COMHUDX,COMHUDB,COMHUDBE,COMHSAV,COMHUDSM</v>
      </c>
      <c r="E45" s="68" t="s">
        <v>44</v>
      </c>
      <c r="F45" s="77"/>
      <c r="G45" s="74" t="s">
        <v>98</v>
      </c>
      <c r="H45" s="77"/>
      <c r="I45" s="77"/>
      <c r="J45" s="509"/>
      <c r="K45" s="127"/>
      <c r="L45" s="127" t="s">
        <v>739</v>
      </c>
      <c r="M45" s="127" t="s">
        <v>721</v>
      </c>
      <c r="N45" s="127" t="s">
        <v>714</v>
      </c>
      <c r="O45" s="127" t="s">
        <v>120</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Residential Heating Rural Multi Boilers  COMHUDX,COMHUDB,COMHUDBE,COMHSAV,COMHUDSH</v>
      </c>
      <c r="E46" s="68" t="s">
        <v>44</v>
      </c>
      <c r="F46" s="77"/>
      <c r="G46" s="74" t="s">
        <v>98</v>
      </c>
      <c r="H46" s="77"/>
      <c r="I46" s="77"/>
      <c r="J46" s="509"/>
      <c r="K46" s="127"/>
      <c r="L46" s="127" t="s">
        <v>739</v>
      </c>
      <c r="M46" s="127" t="s">
        <v>721</v>
      </c>
      <c r="N46" s="127" t="s">
        <v>715</v>
      </c>
      <c r="O46" s="127" t="s">
        <v>120</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Residential Heating Urban Detached Boilers Existing buildings COMHRDX,COMHRDB,COMHRDBE,COMHSAV,COMHRDSL</v>
      </c>
      <c r="E47" s="133" t="s">
        <v>44</v>
      </c>
      <c r="F47" s="80"/>
      <c r="G47" s="189" t="s">
        <v>98</v>
      </c>
      <c r="H47" s="80"/>
      <c r="I47" s="80"/>
      <c r="J47" s="509"/>
      <c r="K47" s="127"/>
      <c r="L47" s="127" t="s">
        <v>739</v>
      </c>
      <c r="M47" s="127" t="s">
        <v>102</v>
      </c>
      <c r="N47" s="127" t="s">
        <v>714</v>
      </c>
      <c r="O47" s="127" t="s">
        <v>120</v>
      </c>
      <c r="P47" s="127" t="s">
        <v>747</v>
      </c>
      <c r="Q47" s="127"/>
      <c r="S47" s="127"/>
      <c r="T47" s="127"/>
      <c r="V47" s="127"/>
      <c r="W47" s="127"/>
      <c r="X47" s="127"/>
      <c r="Y47" s="127"/>
      <c r="Z47" s="127"/>
      <c r="AA47" s="127"/>
    </row>
    <row r="48" spans="1:30" ht="15" customHeight="1">
      <c r="A48" s="106"/>
      <c r="B48" s="77"/>
      <c r="C48" s="152" t="str">
        <f t="shared" si="7"/>
        <v>COMHRDBE</v>
      </c>
      <c r="D48" s="133" t="str">
        <f t="shared" si="2"/>
        <v xml:space="preserve">Residential Heating Rural Detached Boilers Existing buildings </v>
      </c>
      <c r="E48" s="133" t="s">
        <v>44</v>
      </c>
      <c r="F48" s="80"/>
      <c r="G48" s="189" t="s">
        <v>98</v>
      </c>
      <c r="H48" s="80"/>
      <c r="I48" s="80"/>
      <c r="J48" s="509"/>
      <c r="K48" s="127"/>
      <c r="L48" s="127" t="s">
        <v>739</v>
      </c>
      <c r="M48" s="127" t="s">
        <v>102</v>
      </c>
      <c r="N48" s="127" t="s">
        <v>715</v>
      </c>
      <c r="O48" s="127" t="s">
        <v>120</v>
      </c>
      <c r="P48" s="127" t="s">
        <v>747</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Residential Heating Urban Multi Boilers Existing buildings </v>
      </c>
      <c r="E49" s="133" t="s">
        <v>44</v>
      </c>
      <c r="F49" s="80"/>
      <c r="G49" s="189" t="s">
        <v>98</v>
      </c>
      <c r="H49" s="80"/>
      <c r="I49" s="80"/>
      <c r="J49" s="509"/>
      <c r="K49" s="127"/>
      <c r="L49" s="127" t="s">
        <v>739</v>
      </c>
      <c r="M49" s="127" t="s">
        <v>721</v>
      </c>
      <c r="N49" s="127" t="s">
        <v>714</v>
      </c>
      <c r="O49" s="127" t="s">
        <v>120</v>
      </c>
      <c r="P49" s="127" t="s">
        <v>747</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Residential Heating Rural Multi Boilers Existing buildings </v>
      </c>
      <c r="E50" s="133" t="s">
        <v>44</v>
      </c>
      <c r="F50" s="80"/>
      <c r="G50" s="189" t="s">
        <v>98</v>
      </c>
      <c r="H50" s="80"/>
      <c r="I50" s="80"/>
      <c r="J50" s="509"/>
      <c r="K50" s="127"/>
      <c r="L50" s="127" t="s">
        <v>739</v>
      </c>
      <c r="M50" s="127" t="s">
        <v>721</v>
      </c>
      <c r="N50" s="127" t="s">
        <v>715</v>
      </c>
      <c r="O50" s="127" t="s">
        <v>120</v>
      </c>
      <c r="P50" s="127" t="s">
        <v>747</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Residential Heating Urban Detached Boilers New buildings </v>
      </c>
      <c r="E51" s="133" t="s">
        <v>44</v>
      </c>
      <c r="F51" s="80"/>
      <c r="G51" s="189" t="s">
        <v>98</v>
      </c>
      <c r="H51" s="80"/>
      <c r="I51" s="80"/>
      <c r="J51" s="509"/>
      <c r="K51" s="127"/>
      <c r="L51" s="127" t="s">
        <v>739</v>
      </c>
      <c r="M51" s="127" t="s">
        <v>102</v>
      </c>
      <c r="N51" s="127" t="s">
        <v>714</v>
      </c>
      <c r="O51" s="127" t="s">
        <v>120</v>
      </c>
      <c r="P51" s="127" t="s">
        <v>748</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Residential Heating Rural Detached Boilers New buildings </v>
      </c>
      <c r="E52" s="133" t="s">
        <v>44</v>
      </c>
      <c r="F52" s="80"/>
      <c r="G52" s="189" t="s">
        <v>98</v>
      </c>
      <c r="H52" s="80"/>
      <c r="I52" s="80"/>
      <c r="J52" s="509"/>
      <c r="K52" s="127"/>
      <c r="L52" s="127" t="s">
        <v>739</v>
      </c>
      <c r="M52" s="127" t="s">
        <v>102</v>
      </c>
      <c r="N52" s="127" t="s">
        <v>715</v>
      </c>
      <c r="O52" s="127" t="s">
        <v>120</v>
      </c>
      <c r="P52" s="127" t="s">
        <v>748</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Residential Heating Urban Multi Boilers New buildings </v>
      </c>
      <c r="E53" s="133" t="s">
        <v>44</v>
      </c>
      <c r="F53" s="80"/>
      <c r="G53" s="189" t="s">
        <v>98</v>
      </c>
      <c r="H53" s="80"/>
      <c r="I53" s="80"/>
      <c r="J53" s="509"/>
      <c r="K53" s="127"/>
      <c r="L53" s="127" t="s">
        <v>739</v>
      </c>
      <c r="M53" s="127" t="s">
        <v>721</v>
      </c>
      <c r="N53" s="127" t="s">
        <v>714</v>
      </c>
      <c r="O53" s="127" t="s">
        <v>120</v>
      </c>
      <c r="P53" s="127" t="s">
        <v>748</v>
      </c>
      <c r="Q53" s="127"/>
      <c r="R53" s="127"/>
      <c r="S53" s="127"/>
      <c r="T53" s="127"/>
      <c r="U53" s="127"/>
      <c r="V53" s="127"/>
      <c r="W53" s="127"/>
      <c r="X53" s="127"/>
      <c r="Y53" s="127"/>
      <c r="Z53" s="127"/>
      <c r="AA53" s="127"/>
    </row>
    <row r="54" spans="1:30" ht="15" customHeight="1">
      <c r="B54" s="486"/>
      <c r="C54" s="492" t="str">
        <f t="shared" si="7"/>
        <v>COMHRMBN</v>
      </c>
      <c r="D54" s="486" t="str">
        <f t="shared" si="2"/>
        <v xml:space="preserve">Residential Heating Rural Multi Boilers New buildings </v>
      </c>
      <c r="E54" s="486" t="s">
        <v>44</v>
      </c>
      <c r="F54" s="537"/>
      <c r="G54" s="538" t="s">
        <v>98</v>
      </c>
      <c r="H54" s="537"/>
      <c r="I54" s="537"/>
      <c r="J54" s="508"/>
      <c r="K54" s="127"/>
      <c r="L54" s="127" t="s">
        <v>739</v>
      </c>
      <c r="M54" s="127" t="s">
        <v>721</v>
      </c>
      <c r="N54" s="127" t="s">
        <v>715</v>
      </c>
      <c r="O54" s="127" t="s">
        <v>120</v>
      </c>
      <c r="P54" s="127" t="s">
        <v>748</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Residential Cooling Urban Detached Boilers  </v>
      </c>
      <c r="E55" s="68" t="s">
        <v>44</v>
      </c>
      <c r="F55" s="78"/>
      <c r="G55" s="74" t="s">
        <v>98</v>
      </c>
      <c r="H55" s="77"/>
      <c r="I55" s="77"/>
      <c r="J55" s="509"/>
      <c r="K55" s="127"/>
      <c r="L55" s="127" t="s">
        <v>273</v>
      </c>
      <c r="M55" s="127" t="s">
        <v>102</v>
      </c>
      <c r="N55" s="127" t="s">
        <v>714</v>
      </c>
      <c r="O55" s="127" t="s">
        <v>120</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Residential Cooling Rural Detached Boilers  </v>
      </c>
      <c r="E56" s="68" t="s">
        <v>44</v>
      </c>
      <c r="F56" s="78"/>
      <c r="G56" s="74" t="s">
        <v>98</v>
      </c>
      <c r="H56" s="77"/>
      <c r="I56" s="77"/>
      <c r="J56" s="509"/>
      <c r="K56" s="127"/>
      <c r="L56" s="127" t="s">
        <v>273</v>
      </c>
      <c r="M56" s="127" t="s">
        <v>102</v>
      </c>
      <c r="N56" s="127" t="s">
        <v>715</v>
      </c>
      <c r="O56" s="127" t="s">
        <v>120</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Residential Cooling Urban Multi Boilers  </v>
      </c>
      <c r="E57" s="68" t="s">
        <v>44</v>
      </c>
      <c r="F57" s="77"/>
      <c r="G57" s="74" t="s">
        <v>98</v>
      </c>
      <c r="H57" s="77"/>
      <c r="I57" s="77"/>
      <c r="J57" s="509"/>
      <c r="K57" s="127"/>
      <c r="L57" s="127" t="s">
        <v>273</v>
      </c>
      <c r="M57" s="127" t="s">
        <v>721</v>
      </c>
      <c r="N57" s="127" t="s">
        <v>714</v>
      </c>
      <c r="O57" s="127" t="s">
        <v>120</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Residential Cooling Rural Multi Boilers  </v>
      </c>
      <c r="E58" s="68" t="s">
        <v>44</v>
      </c>
      <c r="F58" s="77"/>
      <c r="G58" s="74" t="s">
        <v>98</v>
      </c>
      <c r="H58" s="77"/>
      <c r="I58" s="77"/>
      <c r="J58" s="509"/>
      <c r="K58" s="127"/>
      <c r="L58" s="127" t="s">
        <v>273</v>
      </c>
      <c r="M58" s="127" t="s">
        <v>721</v>
      </c>
      <c r="N58" s="127" t="s">
        <v>715</v>
      </c>
      <c r="O58" s="127" t="s">
        <v>120</v>
      </c>
      <c r="P58" s="127"/>
      <c r="Q58" s="127"/>
      <c r="R58" s="127"/>
      <c r="S58" s="127"/>
      <c r="T58" s="127"/>
      <c r="U58" s="127"/>
      <c r="V58" s="127"/>
      <c r="W58" s="127"/>
      <c r="X58" s="127"/>
      <c r="Y58" s="127"/>
      <c r="Z58" s="127"/>
      <c r="AA58" s="127"/>
    </row>
    <row r="59" spans="1:30" ht="15" customHeight="1">
      <c r="A59" s="106"/>
      <c r="B59" s="128"/>
      <c r="C59" s="152" t="str">
        <f t="shared" si="7"/>
        <v>COMHUDSL</v>
      </c>
      <c r="D59" s="540" t="str">
        <f t="shared" si="2"/>
        <v xml:space="preserve">Residential Heating Urban Detached Savings Low </v>
      </c>
      <c r="E59" s="540" t="s">
        <v>44</v>
      </c>
      <c r="F59" s="540" t="s">
        <v>101</v>
      </c>
      <c r="G59" s="128" t="s">
        <v>98</v>
      </c>
      <c r="H59" s="128"/>
      <c r="I59" s="128"/>
      <c r="J59" s="541"/>
      <c r="K59" s="505"/>
      <c r="L59" s="127" t="s">
        <v>739</v>
      </c>
      <c r="M59" s="127" t="s">
        <v>102</v>
      </c>
      <c r="N59" s="127" t="s">
        <v>714</v>
      </c>
      <c r="O59" s="127" t="s">
        <v>785</v>
      </c>
      <c r="P59" s="127" t="s">
        <v>726</v>
      </c>
      <c r="Q59" s="505"/>
      <c r="R59" s="505"/>
      <c r="S59" s="505"/>
      <c r="T59" s="505"/>
      <c r="V59" s="505"/>
      <c r="W59" s="505"/>
      <c r="X59" s="505"/>
      <c r="Y59" s="505"/>
      <c r="Z59" s="505"/>
      <c r="AA59" s="505"/>
      <c r="AB59" s="106"/>
    </row>
    <row r="60" spans="1:30" ht="15" customHeight="1">
      <c r="B60" s="77"/>
      <c r="C60" s="152" t="str">
        <f t="shared" ref="C60:C82" si="8">$C$2&amp;LEFT(L60,1)&amp;LEFT(N60,1)&amp;LEFT(M60,1)&amp;LEFT(O60,1)&amp;LEFT(P60,1)&amp;Q60</f>
        <v>COMHUDSM</v>
      </c>
      <c r="D60" s="133" t="str">
        <f t="shared" si="2"/>
        <v xml:space="preserve">Residential Heating Urban Detached Savings Medium </v>
      </c>
      <c r="E60" s="133" t="s">
        <v>44</v>
      </c>
      <c r="F60" s="133" t="s">
        <v>101</v>
      </c>
      <c r="G60" s="135" t="s">
        <v>98</v>
      </c>
      <c r="H60" s="135"/>
      <c r="I60" s="135"/>
      <c r="J60" s="509"/>
      <c r="K60" s="505"/>
      <c r="L60" s="127" t="s">
        <v>739</v>
      </c>
      <c r="M60" s="127" t="s">
        <v>102</v>
      </c>
      <c r="N60" s="127" t="s">
        <v>714</v>
      </c>
      <c r="O60" s="127" t="s">
        <v>785</v>
      </c>
      <c r="P60" s="127" t="s">
        <v>727</v>
      </c>
      <c r="Q60" s="505"/>
      <c r="R60" s="505"/>
      <c r="S60" s="505"/>
      <c r="T60" s="505"/>
      <c r="V60" s="505"/>
      <c r="W60" s="505"/>
      <c r="X60" s="505"/>
      <c r="Y60" s="505"/>
      <c r="Z60" s="505"/>
      <c r="AA60" s="505"/>
    </row>
    <row r="61" spans="1:30" ht="15" customHeight="1">
      <c r="B61" s="77"/>
      <c r="C61" s="152" t="str">
        <f t="shared" si="8"/>
        <v>COMHUDSH</v>
      </c>
      <c r="D61" s="133" t="str">
        <f t="shared" si="2"/>
        <v xml:space="preserve">Residential Heating Urban Detached Savings High </v>
      </c>
      <c r="E61" s="133" t="s">
        <v>44</v>
      </c>
      <c r="F61" s="133" t="s">
        <v>101</v>
      </c>
      <c r="G61" s="135" t="s">
        <v>98</v>
      </c>
      <c r="H61" s="135"/>
      <c r="I61" s="135"/>
      <c r="J61" s="509"/>
      <c r="K61" s="505"/>
      <c r="L61" s="127" t="s">
        <v>739</v>
      </c>
      <c r="M61" s="127" t="s">
        <v>102</v>
      </c>
      <c r="N61" s="127" t="s">
        <v>714</v>
      </c>
      <c r="O61" s="127" t="s">
        <v>785</v>
      </c>
      <c r="P61" s="127" t="s">
        <v>728</v>
      </c>
      <c r="Q61" s="505"/>
      <c r="R61" s="505"/>
      <c r="S61" s="505"/>
      <c r="T61" s="505"/>
      <c r="V61" s="505"/>
      <c r="W61" s="505"/>
      <c r="X61" s="505"/>
      <c r="Y61" s="505"/>
      <c r="Z61" s="505"/>
      <c r="AA61" s="505"/>
    </row>
    <row r="62" spans="1:30" ht="15" customHeight="1">
      <c r="B62" s="77"/>
      <c r="C62" s="152" t="str">
        <f t="shared" si="8"/>
        <v>COMHRDSL</v>
      </c>
      <c r="D62" s="133" t="str">
        <f t="shared" si="2"/>
        <v xml:space="preserve">Residential Heating Rural Detached Savings Low </v>
      </c>
      <c r="E62" s="133" t="s">
        <v>44</v>
      </c>
      <c r="F62" s="133" t="s">
        <v>101</v>
      </c>
      <c r="G62" s="135" t="s">
        <v>98</v>
      </c>
      <c r="H62" s="135"/>
      <c r="I62" s="135"/>
      <c r="J62" s="509"/>
      <c r="K62" s="505"/>
      <c r="L62" s="127" t="s">
        <v>739</v>
      </c>
      <c r="M62" s="127" t="s">
        <v>102</v>
      </c>
      <c r="N62" s="127" t="s">
        <v>715</v>
      </c>
      <c r="O62" s="127" t="s">
        <v>785</v>
      </c>
      <c r="P62" s="127" t="s">
        <v>726</v>
      </c>
      <c r="Q62" s="505"/>
      <c r="R62" s="505"/>
      <c r="S62" s="505"/>
      <c r="T62" s="505"/>
      <c r="V62" s="505"/>
      <c r="W62" s="505"/>
      <c r="X62" s="505"/>
      <c r="Y62" s="505"/>
      <c r="Z62" s="505"/>
      <c r="AA62" s="505"/>
    </row>
    <row r="63" spans="1:30" ht="15" customHeight="1">
      <c r="B63" s="77"/>
      <c r="C63" s="152" t="str">
        <f t="shared" si="8"/>
        <v>COMHRDSM</v>
      </c>
      <c r="D63" s="133" t="str">
        <f t="shared" si="2"/>
        <v xml:space="preserve">Residential Heating Rural Detached Savings Medium </v>
      </c>
      <c r="E63" s="133" t="s">
        <v>44</v>
      </c>
      <c r="F63" s="133" t="s">
        <v>101</v>
      </c>
      <c r="G63" s="135" t="s">
        <v>98</v>
      </c>
      <c r="H63" s="135"/>
      <c r="I63" s="135"/>
      <c r="J63" s="509"/>
      <c r="K63" s="505"/>
      <c r="L63" s="127" t="s">
        <v>739</v>
      </c>
      <c r="M63" s="127" t="s">
        <v>102</v>
      </c>
      <c r="N63" s="127" t="s">
        <v>715</v>
      </c>
      <c r="O63" s="127" t="s">
        <v>785</v>
      </c>
      <c r="P63" s="127" t="s">
        <v>727</v>
      </c>
      <c r="Q63" s="505"/>
      <c r="R63" s="505"/>
      <c r="S63" s="505"/>
      <c r="T63" s="505"/>
      <c r="V63" s="505"/>
      <c r="W63" s="505"/>
      <c r="X63" s="505"/>
      <c r="Y63" s="505"/>
      <c r="Z63" s="505"/>
      <c r="AA63" s="505"/>
    </row>
    <row r="64" spans="1:30" ht="15" customHeight="1">
      <c r="B64" s="77"/>
      <c r="C64" s="152" t="str">
        <f t="shared" si="8"/>
        <v>COMHRDSH</v>
      </c>
      <c r="D64" s="133" t="str">
        <f t="shared" si="2"/>
        <v xml:space="preserve">Residential Heating Rural Detached Savings High </v>
      </c>
      <c r="E64" s="133" t="s">
        <v>44</v>
      </c>
      <c r="F64" s="133" t="s">
        <v>101</v>
      </c>
      <c r="G64" s="135" t="s">
        <v>98</v>
      </c>
      <c r="H64" s="135"/>
      <c r="I64" s="135"/>
      <c r="J64" s="509"/>
      <c r="K64" s="505"/>
      <c r="L64" s="127" t="s">
        <v>739</v>
      </c>
      <c r="M64" s="127" t="s">
        <v>102</v>
      </c>
      <c r="N64" s="127" t="s">
        <v>715</v>
      </c>
      <c r="O64" s="127" t="s">
        <v>785</v>
      </c>
      <c r="P64" s="127" t="s">
        <v>728</v>
      </c>
      <c r="Q64" s="505"/>
      <c r="R64" s="505"/>
      <c r="S64" s="505"/>
      <c r="T64" s="505"/>
      <c r="V64" s="505"/>
      <c r="W64" s="505"/>
      <c r="X64" s="505"/>
      <c r="Y64" s="505"/>
      <c r="Z64" s="505"/>
      <c r="AA64" s="505"/>
    </row>
    <row r="65" spans="2:27" ht="15" customHeight="1">
      <c r="B65" s="77"/>
      <c r="C65" s="152" t="str">
        <f>$C$2&amp;LEFT(L65,1)&amp;LEFT(N65,1)&amp;LEFT(M65,1)&amp;LEFT(O65,1)&amp;LEFT(P65,1)&amp;Q65</f>
        <v>COMHUMSL</v>
      </c>
      <c r="D65" s="133" t="str">
        <f t="shared" si="2"/>
        <v xml:space="preserve">Residential Heating Urban Multi Savings Low </v>
      </c>
      <c r="E65" s="133" t="s">
        <v>44</v>
      </c>
      <c r="F65" s="133" t="s">
        <v>101</v>
      </c>
      <c r="G65" s="135" t="s">
        <v>98</v>
      </c>
      <c r="H65" s="135"/>
      <c r="I65" s="135"/>
      <c r="J65" s="509"/>
      <c r="L65" s="127" t="s">
        <v>739</v>
      </c>
      <c r="M65" s="127" t="s">
        <v>721</v>
      </c>
      <c r="N65" s="127" t="s">
        <v>714</v>
      </c>
      <c r="O65" s="127" t="s">
        <v>785</v>
      </c>
      <c r="P65" s="127" t="s">
        <v>726</v>
      </c>
      <c r="Q65" s="505"/>
      <c r="R65" s="505"/>
      <c r="S65" s="505"/>
      <c r="T65" s="505"/>
      <c r="V65" s="505"/>
      <c r="W65" s="505"/>
      <c r="X65" s="505"/>
      <c r="Y65" s="505"/>
      <c r="Z65" s="505"/>
      <c r="AA65" s="505"/>
    </row>
    <row r="66" spans="2:27" ht="15" customHeight="1">
      <c r="B66" s="77"/>
      <c r="C66" s="152" t="str">
        <f t="shared" si="8"/>
        <v>COMHUMSM</v>
      </c>
      <c r="D66" s="133" t="str">
        <f t="shared" si="2"/>
        <v xml:space="preserve">Residential Heating Urban Multi Savings Medium </v>
      </c>
      <c r="E66" s="133" t="s">
        <v>44</v>
      </c>
      <c r="F66" s="133" t="s">
        <v>101</v>
      </c>
      <c r="G66" s="135" t="s">
        <v>98</v>
      </c>
      <c r="H66" s="135"/>
      <c r="I66" s="135"/>
      <c r="J66" s="509"/>
      <c r="K66" s="505"/>
      <c r="L66" s="127" t="s">
        <v>739</v>
      </c>
      <c r="M66" s="127" t="s">
        <v>721</v>
      </c>
      <c r="N66" s="127" t="s">
        <v>714</v>
      </c>
      <c r="O66" s="127" t="s">
        <v>785</v>
      </c>
      <c r="P66" s="127" t="s">
        <v>727</v>
      </c>
      <c r="Q66" s="505"/>
      <c r="R66" s="505"/>
      <c r="S66" s="505"/>
      <c r="T66" s="505"/>
      <c r="V66" s="505"/>
      <c r="W66" s="505"/>
      <c r="X66" s="505"/>
      <c r="Y66" s="505"/>
      <c r="Z66" s="505"/>
      <c r="AA66" s="505"/>
    </row>
    <row r="67" spans="2:27" ht="15" customHeight="1">
      <c r="B67" s="77"/>
      <c r="C67" s="152" t="str">
        <f t="shared" si="8"/>
        <v>COMHUMSH</v>
      </c>
      <c r="D67" s="133" t="str">
        <f t="shared" si="2"/>
        <v xml:space="preserve">Residential Heating Urban Multi Savings High </v>
      </c>
      <c r="E67" s="133" t="s">
        <v>44</v>
      </c>
      <c r="F67" s="133" t="s">
        <v>101</v>
      </c>
      <c r="G67" s="135" t="s">
        <v>98</v>
      </c>
      <c r="H67" s="135"/>
      <c r="I67" s="135"/>
      <c r="J67" s="509"/>
      <c r="K67" s="505"/>
      <c r="L67" s="127" t="s">
        <v>739</v>
      </c>
      <c r="M67" s="127" t="s">
        <v>721</v>
      </c>
      <c r="N67" s="127" t="s">
        <v>714</v>
      </c>
      <c r="O67" s="127" t="s">
        <v>785</v>
      </c>
      <c r="P67" s="127" t="s">
        <v>728</v>
      </c>
      <c r="Q67" s="505"/>
      <c r="R67" s="505"/>
      <c r="S67" s="505"/>
      <c r="T67" s="505"/>
      <c r="V67" s="505"/>
      <c r="W67" s="505"/>
      <c r="X67" s="505"/>
      <c r="Y67" s="505"/>
      <c r="Z67" s="505"/>
      <c r="AA67" s="505"/>
    </row>
    <row r="68" spans="2:27" ht="15" customHeight="1">
      <c r="B68" s="77"/>
      <c r="C68" s="152" t="str">
        <f t="shared" si="8"/>
        <v>COMHRMSL</v>
      </c>
      <c r="D68" s="133" t="str">
        <f t="shared" si="2"/>
        <v xml:space="preserve">Residential Heating Rural Multi Savings Low </v>
      </c>
      <c r="E68" s="133" t="s">
        <v>44</v>
      </c>
      <c r="F68" s="133" t="s">
        <v>101</v>
      </c>
      <c r="G68" s="135" t="s">
        <v>98</v>
      </c>
      <c r="H68" s="135"/>
      <c r="I68" s="135"/>
      <c r="J68" s="509"/>
      <c r="K68" s="505"/>
      <c r="L68" s="127" t="s">
        <v>739</v>
      </c>
      <c r="M68" s="127" t="s">
        <v>721</v>
      </c>
      <c r="N68" s="127" t="s">
        <v>715</v>
      </c>
      <c r="O68" s="127" t="s">
        <v>785</v>
      </c>
      <c r="P68" s="127" t="s">
        <v>726</v>
      </c>
      <c r="Q68" s="505"/>
      <c r="R68" s="505"/>
      <c r="S68" s="505"/>
      <c r="T68" s="505"/>
      <c r="V68" s="505"/>
      <c r="W68" s="505"/>
      <c r="X68" s="505"/>
      <c r="Y68" s="505"/>
      <c r="Z68" s="505"/>
      <c r="AA68" s="505"/>
    </row>
    <row r="69" spans="2:27" ht="15" customHeight="1">
      <c r="B69" s="77"/>
      <c r="C69" s="152" t="str">
        <f t="shared" si="8"/>
        <v>COMHRMSM</v>
      </c>
      <c r="D69" s="133" t="str">
        <f t="shared" si="2"/>
        <v xml:space="preserve">Residential Heating Rural Multi Savings Medium </v>
      </c>
      <c r="E69" s="133" t="s">
        <v>44</v>
      </c>
      <c r="F69" s="133" t="s">
        <v>101</v>
      </c>
      <c r="G69" s="135" t="s">
        <v>98</v>
      </c>
      <c r="H69" s="135"/>
      <c r="I69" s="135"/>
      <c r="J69" s="509"/>
      <c r="K69" s="505"/>
      <c r="L69" s="127" t="s">
        <v>739</v>
      </c>
      <c r="M69" s="127" t="s">
        <v>721</v>
      </c>
      <c r="N69" s="127" t="s">
        <v>715</v>
      </c>
      <c r="O69" s="127" t="s">
        <v>785</v>
      </c>
      <c r="P69" s="127" t="s">
        <v>727</v>
      </c>
      <c r="Q69" s="505"/>
      <c r="R69" s="505"/>
      <c r="S69" s="505"/>
      <c r="T69" s="505"/>
      <c r="V69" s="505"/>
      <c r="W69" s="505"/>
      <c r="X69" s="505"/>
      <c r="Y69" s="505"/>
      <c r="Z69" s="505"/>
      <c r="AA69" s="505"/>
    </row>
    <row r="70" spans="2:27" ht="15" customHeight="1" thickBot="1">
      <c r="B70" s="129"/>
      <c r="C70" s="152" t="str">
        <f t="shared" si="8"/>
        <v>COMHRMSH</v>
      </c>
      <c r="D70" s="543" t="str">
        <f t="shared" si="2"/>
        <v xml:space="preserve">Residential Heating Rural Multi Savings High </v>
      </c>
      <c r="E70" s="543" t="s">
        <v>44</v>
      </c>
      <c r="F70" s="543" t="s">
        <v>101</v>
      </c>
      <c r="G70" s="544" t="s">
        <v>98</v>
      </c>
      <c r="H70" s="544"/>
      <c r="I70" s="544"/>
      <c r="J70" s="545"/>
      <c r="K70" s="505"/>
      <c r="L70" s="127" t="s">
        <v>739</v>
      </c>
      <c r="M70" s="127" t="s">
        <v>721</v>
      </c>
      <c r="N70" s="127" t="s">
        <v>715</v>
      </c>
      <c r="O70" s="127" t="s">
        <v>785</v>
      </c>
      <c r="P70" s="127" t="s">
        <v>728</v>
      </c>
      <c r="Q70" s="505"/>
      <c r="R70" s="505"/>
      <c r="S70" s="505"/>
      <c r="T70" s="505"/>
      <c r="V70" s="505"/>
      <c r="W70" s="505"/>
      <c r="X70" s="505"/>
      <c r="Y70" s="505"/>
      <c r="Z70" s="505"/>
      <c r="AA70" s="505"/>
    </row>
    <row r="71" spans="2:27" ht="16.25" customHeight="1" thickBot="1">
      <c r="C71" s="152" t="str">
        <f t="shared" si="8"/>
        <v>COMCUDSL</v>
      </c>
      <c r="D71" s="106" t="str">
        <f t="shared" si="2"/>
        <v xml:space="preserve">Residential Cooling Urban Detached Savings Low </v>
      </c>
      <c r="E71" s="543" t="s">
        <v>44</v>
      </c>
      <c r="F71" s="543" t="s">
        <v>101</v>
      </c>
      <c r="G71" s="544" t="s">
        <v>98</v>
      </c>
      <c r="H71" s="544"/>
      <c r="I71" s="544"/>
      <c r="J71" s="545"/>
      <c r="K71" s="127"/>
      <c r="L71" s="127" t="s">
        <v>273</v>
      </c>
      <c r="M71" s="127" t="s">
        <v>102</v>
      </c>
      <c r="N71" s="127" t="s">
        <v>714</v>
      </c>
      <c r="O71" s="127" t="s">
        <v>785</v>
      </c>
      <c r="P71" s="127" t="s">
        <v>726</v>
      </c>
      <c r="Q71" s="127"/>
      <c r="R71" s="127"/>
      <c r="S71" s="127"/>
      <c r="T71" s="127"/>
      <c r="V71" s="127"/>
      <c r="W71" s="127"/>
      <c r="X71" s="127"/>
      <c r="Y71" s="127"/>
      <c r="Z71" s="127"/>
      <c r="AA71" s="127"/>
    </row>
    <row r="72" spans="2:27" ht="16.25" customHeight="1" thickBot="1">
      <c r="C72" s="152" t="str">
        <f t="shared" si="8"/>
        <v>COMCUDSM</v>
      </c>
      <c r="D72" s="106" t="str">
        <f t="shared" si="2"/>
        <v xml:space="preserve">Residential Cooling Urban Detached Savings Medium </v>
      </c>
      <c r="E72" s="543" t="s">
        <v>44</v>
      </c>
      <c r="F72" s="543" t="s">
        <v>101</v>
      </c>
      <c r="G72" s="544" t="s">
        <v>98</v>
      </c>
      <c r="H72" s="544"/>
      <c r="I72" s="544"/>
      <c r="J72" s="545"/>
      <c r="L72" s="127" t="s">
        <v>273</v>
      </c>
      <c r="M72" s="127" t="s">
        <v>102</v>
      </c>
      <c r="N72" s="127" t="s">
        <v>714</v>
      </c>
      <c r="O72" s="127" t="s">
        <v>785</v>
      </c>
      <c r="P72" s="127" t="s">
        <v>727</v>
      </c>
    </row>
    <row r="73" spans="2:27" ht="16.25" customHeight="1" thickBot="1">
      <c r="B73" s="73"/>
      <c r="C73" s="152" t="str">
        <f t="shared" si="8"/>
        <v>COMCUDSH</v>
      </c>
      <c r="D73" s="106" t="str">
        <f t="shared" si="2"/>
        <v xml:space="preserve">Residential Cooling Urban Detached Savings High </v>
      </c>
      <c r="E73" s="543" t="s">
        <v>44</v>
      </c>
      <c r="F73" s="543" t="s">
        <v>101</v>
      </c>
      <c r="G73" s="544" t="s">
        <v>98</v>
      </c>
      <c r="H73" s="544"/>
      <c r="I73" s="544"/>
      <c r="J73" s="545"/>
      <c r="L73" s="127" t="s">
        <v>273</v>
      </c>
      <c r="M73" s="127" t="s">
        <v>102</v>
      </c>
      <c r="N73" s="127" t="s">
        <v>714</v>
      </c>
      <c r="O73" s="127" t="s">
        <v>785</v>
      </c>
      <c r="P73" s="127" t="s">
        <v>728</v>
      </c>
    </row>
    <row r="74" spans="2:27" ht="16.25" customHeight="1" thickBot="1">
      <c r="B74" s="64"/>
      <c r="C74" s="152" t="str">
        <f t="shared" si="8"/>
        <v>COMCRDSL</v>
      </c>
      <c r="D74" s="106" t="str">
        <f t="shared" si="2"/>
        <v xml:space="preserve">Residential Cooling Rural Detached Savings Low </v>
      </c>
      <c r="E74" s="543" t="s">
        <v>44</v>
      </c>
      <c r="F74" s="543" t="s">
        <v>101</v>
      </c>
      <c r="G74" s="544" t="s">
        <v>98</v>
      </c>
      <c r="H74" s="544"/>
      <c r="I74" s="544"/>
      <c r="J74" s="545"/>
      <c r="L74" s="127" t="s">
        <v>273</v>
      </c>
      <c r="M74" s="127" t="s">
        <v>102</v>
      </c>
      <c r="N74" s="127" t="s">
        <v>715</v>
      </c>
      <c r="O74" s="127" t="s">
        <v>785</v>
      </c>
      <c r="P74" s="127" t="s">
        <v>726</v>
      </c>
    </row>
    <row r="75" spans="2:27" ht="16.25" customHeight="1" thickBot="1">
      <c r="C75" s="152" t="str">
        <f t="shared" si="8"/>
        <v>COMCRDSM</v>
      </c>
      <c r="D75" s="106" t="str">
        <f t="shared" si="2"/>
        <v xml:space="preserve">Residential Cooling Rural Detached Savings Medium </v>
      </c>
      <c r="E75" s="543" t="s">
        <v>44</v>
      </c>
      <c r="F75" s="543" t="s">
        <v>101</v>
      </c>
      <c r="G75" s="544" t="s">
        <v>98</v>
      </c>
      <c r="H75" s="544"/>
      <c r="I75" s="544"/>
      <c r="J75" s="545"/>
      <c r="L75" s="127" t="s">
        <v>273</v>
      </c>
      <c r="M75" s="127" t="s">
        <v>102</v>
      </c>
      <c r="N75" s="127" t="s">
        <v>715</v>
      </c>
      <c r="O75" s="127" t="s">
        <v>785</v>
      </c>
      <c r="P75" s="127" t="s">
        <v>727</v>
      </c>
    </row>
    <row r="76" spans="2:27" ht="16.25" customHeight="1" thickBot="1">
      <c r="C76" s="152" t="str">
        <f t="shared" si="8"/>
        <v>COMCRDSH</v>
      </c>
      <c r="D76" s="106" t="str">
        <f t="shared" si="2"/>
        <v xml:space="preserve">Residential Cooling Rural Detached Savings High </v>
      </c>
      <c r="E76" s="543" t="s">
        <v>44</v>
      </c>
      <c r="F76" s="543" t="s">
        <v>101</v>
      </c>
      <c r="G76" s="544" t="s">
        <v>98</v>
      </c>
      <c r="H76" s="544"/>
      <c r="I76" s="544"/>
      <c r="J76" s="545"/>
      <c r="L76" s="127" t="s">
        <v>273</v>
      </c>
      <c r="M76" s="127" t="s">
        <v>102</v>
      </c>
      <c r="N76" s="127" t="s">
        <v>715</v>
      </c>
      <c r="O76" s="127" t="s">
        <v>785</v>
      </c>
      <c r="P76" s="127" t="s">
        <v>728</v>
      </c>
    </row>
    <row r="77" spans="2:27" ht="16.25" customHeight="1" thickBot="1">
      <c r="C77" s="152" t="str">
        <f t="shared" si="8"/>
        <v>COMCUMSL</v>
      </c>
      <c r="D77" s="106" t="str">
        <f t="shared" si="2"/>
        <v xml:space="preserve">Residential Cooling Urban Multi Savings Low </v>
      </c>
      <c r="E77" s="543" t="s">
        <v>44</v>
      </c>
      <c r="F77" s="543" t="s">
        <v>101</v>
      </c>
      <c r="G77" s="544" t="s">
        <v>98</v>
      </c>
      <c r="H77" s="544"/>
      <c r="I77" s="544"/>
      <c r="J77" s="545"/>
      <c r="L77" s="127" t="s">
        <v>273</v>
      </c>
      <c r="M77" s="127" t="s">
        <v>721</v>
      </c>
      <c r="N77" s="127" t="s">
        <v>714</v>
      </c>
      <c r="O77" s="127" t="s">
        <v>785</v>
      </c>
      <c r="P77" s="127" t="s">
        <v>726</v>
      </c>
    </row>
    <row r="78" spans="2:27" ht="16.25" customHeight="1" thickBot="1">
      <c r="C78" s="152" t="str">
        <f t="shared" si="8"/>
        <v>COMCUMSM</v>
      </c>
      <c r="D78" s="106" t="str">
        <f t="shared" si="2"/>
        <v xml:space="preserve">Residential Cooling Urban Multi Savings Medium </v>
      </c>
      <c r="E78" s="543" t="s">
        <v>44</v>
      </c>
      <c r="F78" s="543" t="s">
        <v>101</v>
      </c>
      <c r="G78" s="544" t="s">
        <v>98</v>
      </c>
      <c r="H78" s="544"/>
      <c r="I78" s="544"/>
      <c r="J78" s="545"/>
      <c r="L78" s="127" t="s">
        <v>273</v>
      </c>
      <c r="M78" s="127" t="s">
        <v>721</v>
      </c>
      <c r="N78" s="127" t="s">
        <v>714</v>
      </c>
      <c r="O78" s="127" t="s">
        <v>785</v>
      </c>
      <c r="P78" s="127" t="s">
        <v>727</v>
      </c>
    </row>
    <row r="79" spans="2:27" ht="16.25" customHeight="1" thickBot="1">
      <c r="C79" s="152" t="str">
        <f t="shared" si="8"/>
        <v>COMCUMSH</v>
      </c>
      <c r="D79" s="106" t="str">
        <f t="shared" si="2"/>
        <v xml:space="preserve">Residential Cooling Urban Multi Savings High </v>
      </c>
      <c r="E79" s="543" t="s">
        <v>44</v>
      </c>
      <c r="F79" s="543" t="s">
        <v>101</v>
      </c>
      <c r="G79" s="544" t="s">
        <v>98</v>
      </c>
      <c r="H79" s="544"/>
      <c r="I79" s="544"/>
      <c r="J79" s="545"/>
      <c r="L79" s="127" t="s">
        <v>273</v>
      </c>
      <c r="M79" s="127" t="s">
        <v>721</v>
      </c>
      <c r="N79" s="127" t="s">
        <v>714</v>
      </c>
      <c r="O79" s="127" t="s">
        <v>785</v>
      </c>
      <c r="P79" s="127" t="s">
        <v>728</v>
      </c>
    </row>
    <row r="80" spans="2:27" ht="16.25" customHeight="1" thickBot="1">
      <c r="C80" s="152" t="str">
        <f t="shared" si="8"/>
        <v>COMCRMSL</v>
      </c>
      <c r="D80" s="106" t="str">
        <f t="shared" si="2"/>
        <v xml:space="preserve">Residential Cooling Rural Multi Savings Low </v>
      </c>
      <c r="E80" s="543" t="s">
        <v>44</v>
      </c>
      <c r="F80" s="543" t="s">
        <v>101</v>
      </c>
      <c r="G80" s="544" t="s">
        <v>98</v>
      </c>
      <c r="H80" s="544"/>
      <c r="I80" s="544"/>
      <c r="J80" s="545"/>
      <c r="L80" s="127" t="s">
        <v>273</v>
      </c>
      <c r="M80" s="127" t="s">
        <v>721</v>
      </c>
      <c r="N80" s="127" t="s">
        <v>715</v>
      </c>
      <c r="O80" s="127" t="s">
        <v>785</v>
      </c>
      <c r="P80" s="127" t="s">
        <v>726</v>
      </c>
    </row>
    <row r="81" spans="2:16" ht="16.25" customHeight="1" thickBot="1">
      <c r="C81" s="152" t="str">
        <f t="shared" si="8"/>
        <v>COMCRMSM</v>
      </c>
      <c r="D81" s="106" t="str">
        <f t="shared" si="2"/>
        <v xml:space="preserve">Residential Cooling Rural Multi Savings Medium </v>
      </c>
      <c r="E81" s="543" t="s">
        <v>44</v>
      </c>
      <c r="F81" s="543" t="s">
        <v>101</v>
      </c>
      <c r="G81" s="544" t="s">
        <v>98</v>
      </c>
      <c r="H81" s="544"/>
      <c r="I81" s="544"/>
      <c r="J81" s="545"/>
      <c r="L81" s="127" t="s">
        <v>273</v>
      </c>
      <c r="M81" s="127" t="s">
        <v>721</v>
      </c>
      <c r="N81" s="127" t="s">
        <v>715</v>
      </c>
      <c r="O81" s="127" t="s">
        <v>785</v>
      </c>
      <c r="P81" s="127" t="s">
        <v>727</v>
      </c>
    </row>
    <row r="82" spans="2:16" ht="16.25" customHeight="1" thickBot="1">
      <c r="C82" s="152" t="str">
        <f t="shared" si="8"/>
        <v>COMCRMSH</v>
      </c>
      <c r="D82" s="106" t="str">
        <f t="shared" si="2"/>
        <v xml:space="preserve">Residential Cooling Rural Multi Savings High </v>
      </c>
      <c r="E82" s="543" t="s">
        <v>44</v>
      </c>
      <c r="F82" s="543" t="s">
        <v>101</v>
      </c>
      <c r="G82" s="544" t="s">
        <v>98</v>
      </c>
      <c r="H82" s="544"/>
      <c r="I82" s="544"/>
      <c r="J82" s="545"/>
      <c r="L82" s="127" t="s">
        <v>273</v>
      </c>
      <c r="M82" s="127" t="s">
        <v>721</v>
      </c>
      <c r="N82" s="127" t="s">
        <v>715</v>
      </c>
      <c r="O82" s="127" t="s">
        <v>785</v>
      </c>
      <c r="P82" s="127" t="s">
        <v>728</v>
      </c>
    </row>
    <row r="83" spans="2:16" ht="16.25" customHeight="1">
      <c r="B83" s="70" t="s">
        <v>104</v>
      </c>
      <c r="C83" s="105" t="s">
        <v>879</v>
      </c>
      <c r="D83" s="546" t="s">
        <v>106</v>
      </c>
      <c r="E83" s="546" t="s">
        <v>105</v>
      </c>
      <c r="F83" s="547"/>
      <c r="G83" s="547"/>
      <c r="H83" s="547"/>
      <c r="I83" s="547"/>
      <c r="J83" s="512"/>
    </row>
    <row r="84" spans="2:16">
      <c r="B84" t="s">
        <v>47</v>
      </c>
      <c r="C84" t="s">
        <v>880</v>
      </c>
      <c r="D84" t="s">
        <v>823</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topLeftCell="A63" zoomScale="55" zoomScaleNormal="55" workbookViewId="0">
      <selection activeCell="D92" sqref="D92"/>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39" t="s">
        <v>769</v>
      </c>
      <c r="D2" s="539" t="s">
        <v>876</v>
      </c>
      <c r="E2" s="106" t="s">
        <v>788</v>
      </c>
    </row>
    <row r="3" spans="2:19" ht="18">
      <c r="C3" s="539"/>
      <c r="D3" s="539"/>
      <c r="E3" s="106"/>
    </row>
    <row r="4" spans="2:19" ht="13">
      <c r="B4" s="63" t="s">
        <v>18</v>
      </c>
      <c r="C4" s="63"/>
      <c r="D4" s="64"/>
      <c r="E4" s="64"/>
      <c r="F4" s="64"/>
      <c r="G4" s="64"/>
      <c r="H4" s="64"/>
      <c r="I4" s="64"/>
      <c r="J4" s="64"/>
      <c r="K4" s="64"/>
      <c r="L4" s="642"/>
      <c r="M4" s="643"/>
      <c r="N4" s="643"/>
      <c r="O4" s="643"/>
      <c r="P4" s="643"/>
      <c r="Q4" s="643"/>
      <c r="R4" s="643"/>
      <c r="S4" s="643"/>
    </row>
    <row r="5" spans="2:19" ht="39">
      <c r="B5" s="65" t="s">
        <v>19</v>
      </c>
      <c r="C5" s="65" t="s">
        <v>1</v>
      </c>
      <c r="D5" s="65" t="s">
        <v>2</v>
      </c>
      <c r="E5" s="65" t="s">
        <v>3</v>
      </c>
      <c r="F5" s="65" t="s">
        <v>20</v>
      </c>
      <c r="G5" s="65" t="s">
        <v>21</v>
      </c>
      <c r="H5" s="65" t="s">
        <v>22</v>
      </c>
      <c r="I5" s="65" t="s">
        <v>23</v>
      </c>
      <c r="J5" s="65" t="s">
        <v>24</v>
      </c>
      <c r="K5" s="549"/>
      <c r="L5" s="296" t="s">
        <v>804</v>
      </c>
      <c r="M5" s="296" t="s">
        <v>746</v>
      </c>
      <c r="N5" s="296" t="s">
        <v>744</v>
      </c>
      <c r="O5" s="296" t="s">
        <v>745</v>
      </c>
      <c r="P5" s="296" t="s">
        <v>75</v>
      </c>
      <c r="Q5" s="296" t="s">
        <v>768</v>
      </c>
      <c r="R5" s="296" t="s">
        <v>783</v>
      </c>
      <c r="S5" s="296" t="s">
        <v>786</v>
      </c>
    </row>
    <row r="6" spans="2:19" ht="21.5" thickBot="1">
      <c r="B6" s="66" t="s">
        <v>28</v>
      </c>
      <c r="C6" s="66" t="s">
        <v>29</v>
      </c>
      <c r="D6" s="66" t="s">
        <v>30</v>
      </c>
      <c r="E6" s="66" t="s">
        <v>31</v>
      </c>
      <c r="F6" s="66" t="s">
        <v>32</v>
      </c>
      <c r="G6" s="66" t="s">
        <v>33</v>
      </c>
      <c r="H6" s="66" t="s">
        <v>34</v>
      </c>
      <c r="I6" s="66" t="s">
        <v>35</v>
      </c>
      <c r="J6" s="66" t="s">
        <v>36</v>
      </c>
      <c r="K6" s="550"/>
      <c r="L6" s="548" t="s">
        <v>807</v>
      </c>
      <c r="M6" s="548" t="s">
        <v>807</v>
      </c>
      <c r="N6" s="548" t="s">
        <v>807</v>
      </c>
      <c r="O6" s="548" t="s">
        <v>807</v>
      </c>
      <c r="P6" s="548" t="s">
        <v>807</v>
      </c>
      <c r="Q6" s="548" t="s">
        <v>807</v>
      </c>
      <c r="R6" s="548" t="s">
        <v>807</v>
      </c>
      <c r="S6" s="548" t="s">
        <v>807</v>
      </c>
    </row>
    <row r="7" spans="2:19">
      <c r="B7" s="135" t="s">
        <v>25</v>
      </c>
      <c r="C7" s="77"/>
      <c r="D7" s="133" t="str">
        <f>LEFT($D$2,1)&amp;LEFT(L7,1)&amp;LEFT(M7,1)&amp;LEFT(O7,1)&amp;LEFT(N7,1)&amp;P7&amp;LEFT(Q7,1)&amp;R7</f>
        <v>CDHUDL</v>
      </c>
      <c r="E7" s="133" t="str">
        <f>$E$2&amp;" "&amp;L7&amp;" "&amp;M7&amp;" "&amp;O7&amp;" "&amp;N7&amp;" - "&amp;T7&amp;" - "&amp;Q7&amp;" "&amp;R7</f>
        <v xml:space="preserve">Residential Demand Heating Urban Detached -  - Low </v>
      </c>
      <c r="F7" s="78" t="s">
        <v>46</v>
      </c>
      <c r="G7" s="78" t="s">
        <v>46</v>
      </c>
      <c r="H7" s="77"/>
      <c r="I7" s="83"/>
      <c r="J7" s="77"/>
      <c r="K7" s="77"/>
      <c r="L7" s="106" t="s">
        <v>787</v>
      </c>
      <c r="M7" s="127" t="s">
        <v>739</v>
      </c>
      <c r="N7" s="127" t="s">
        <v>102</v>
      </c>
      <c r="O7" s="127" t="s">
        <v>714</v>
      </c>
      <c r="Q7" s="106" t="s">
        <v>726</v>
      </c>
      <c r="R7" s="106"/>
    </row>
    <row r="8" spans="2:19">
      <c r="B8" s="77"/>
      <c r="C8" s="77"/>
      <c r="D8" s="133" t="str">
        <f>LEFT($D$2,1)&amp;LEFT(L8,1)&amp;LEFT(M8,1)&amp;LEFT(O8,1)&amp;LEFT(N8,1)&amp;P8&amp;LEFT(Q8,1)&amp;R8</f>
        <v>CDHUDM</v>
      </c>
      <c r="E8" s="133" t="str">
        <f t="shared" ref="E8:E82" si="0">$E$2&amp;" "&amp;L8&amp;" "&amp;M8&amp;" "&amp;O8&amp;" "&amp;N8&amp;" - "&amp;T8&amp;" - "&amp;Q8&amp;" "&amp;R8</f>
        <v xml:space="preserve">Residential Demand Heating Urban Detached -  - Medium </v>
      </c>
      <c r="F8" s="78" t="s">
        <v>46</v>
      </c>
      <c r="G8" s="78" t="s">
        <v>46</v>
      </c>
      <c r="H8" s="77"/>
      <c r="I8" s="83"/>
      <c r="J8" s="77"/>
      <c r="K8" s="77"/>
      <c r="L8" s="106" t="s">
        <v>787</v>
      </c>
      <c r="M8" s="127" t="s">
        <v>739</v>
      </c>
      <c r="N8" s="127" t="s">
        <v>102</v>
      </c>
      <c r="O8" s="127" t="s">
        <v>714</v>
      </c>
      <c r="Q8" s="106" t="s">
        <v>727</v>
      </c>
    </row>
    <row r="9" spans="2:19">
      <c r="B9" s="77"/>
      <c r="C9" s="77"/>
      <c r="D9" s="133" t="str">
        <f t="shared" ref="D9:D83" si="1">LEFT($D$2,1)&amp;LEFT(L9,1)&amp;LEFT(M9,1)&amp;LEFT(O9,1)&amp;LEFT(N9,1)&amp;P9&amp;LEFT(Q9,1)&amp;R9</f>
        <v>CDHUDH</v>
      </c>
      <c r="E9" s="133" t="str">
        <f t="shared" si="0"/>
        <v xml:space="preserve">Residential Demand Heating Urban Detached -  - High </v>
      </c>
      <c r="F9" s="78" t="s">
        <v>46</v>
      </c>
      <c r="G9" s="68" t="s">
        <v>46</v>
      </c>
      <c r="H9" s="77"/>
      <c r="I9" s="83"/>
      <c r="J9" s="78"/>
      <c r="K9" s="78"/>
      <c r="L9" s="106" t="s">
        <v>787</v>
      </c>
      <c r="M9" s="127" t="s">
        <v>739</v>
      </c>
      <c r="N9" s="127" t="s">
        <v>102</v>
      </c>
      <c r="O9" s="127" t="s">
        <v>714</v>
      </c>
      <c r="Q9" s="106" t="s">
        <v>728</v>
      </c>
    </row>
    <row r="10" spans="2:19">
      <c r="B10" s="77"/>
      <c r="C10" s="77"/>
      <c r="D10" s="133" t="str">
        <f t="shared" si="1"/>
        <v>CDHUDN</v>
      </c>
      <c r="E10" s="133" t="str">
        <f t="shared" si="0"/>
        <v xml:space="preserve">Residential Demand Heating Urban Detached -  - New </v>
      </c>
      <c r="F10" s="78" t="s">
        <v>46</v>
      </c>
      <c r="G10" s="78" t="s">
        <v>46</v>
      </c>
      <c r="H10" s="77"/>
      <c r="I10" s="83"/>
      <c r="J10" s="77"/>
      <c r="K10" s="77"/>
      <c r="L10" s="106" t="s">
        <v>787</v>
      </c>
      <c r="M10" s="127" t="s">
        <v>739</v>
      </c>
      <c r="N10" s="127" t="s">
        <v>102</v>
      </c>
      <c r="O10" s="127" t="s">
        <v>714</v>
      </c>
      <c r="Q10" s="106" t="s">
        <v>51</v>
      </c>
    </row>
    <row r="11" spans="2:19">
      <c r="B11" s="77"/>
      <c r="C11" s="77"/>
      <c r="D11" s="133" t="str">
        <f t="shared" si="1"/>
        <v>CDHRDL</v>
      </c>
      <c r="E11" s="133" t="str">
        <f t="shared" si="0"/>
        <v xml:space="preserve">Residential Demand Heating Rural Detached -  - Low </v>
      </c>
      <c r="F11" s="78" t="s">
        <v>46</v>
      </c>
      <c r="G11" s="78" t="s">
        <v>46</v>
      </c>
      <c r="H11" s="77"/>
      <c r="I11" s="83"/>
      <c r="J11" s="77"/>
      <c r="K11" s="77"/>
      <c r="L11" s="106" t="s">
        <v>787</v>
      </c>
      <c r="M11" s="127" t="s">
        <v>739</v>
      </c>
      <c r="N11" s="127" t="s">
        <v>102</v>
      </c>
      <c r="O11" s="127" t="s">
        <v>715</v>
      </c>
      <c r="Q11" s="106" t="s">
        <v>726</v>
      </c>
    </row>
    <row r="12" spans="2:19">
      <c r="B12" s="77"/>
      <c r="C12" s="77"/>
      <c r="D12" s="133" t="str">
        <f t="shared" si="1"/>
        <v>CDHRDM</v>
      </c>
      <c r="E12" s="133" t="str">
        <f t="shared" si="0"/>
        <v xml:space="preserve">Residential Demand Heating Rural Detached -  - Medium </v>
      </c>
      <c r="F12" s="78" t="s">
        <v>46</v>
      </c>
      <c r="G12" s="78" t="s">
        <v>46</v>
      </c>
      <c r="H12" s="77"/>
      <c r="I12" s="83"/>
      <c r="J12" s="78"/>
      <c r="K12" s="78"/>
      <c r="L12" s="106" t="s">
        <v>787</v>
      </c>
      <c r="M12" s="127" t="s">
        <v>739</v>
      </c>
      <c r="N12" s="127" t="s">
        <v>102</v>
      </c>
      <c r="O12" s="127" t="s">
        <v>715</v>
      </c>
      <c r="Q12" s="106" t="s">
        <v>727</v>
      </c>
    </row>
    <row r="13" spans="2:19">
      <c r="B13" s="77"/>
      <c r="C13" s="77"/>
      <c r="D13" s="133" t="str">
        <f t="shared" si="1"/>
        <v>CDHRDH</v>
      </c>
      <c r="E13" s="133" t="str">
        <f t="shared" si="0"/>
        <v xml:space="preserve">Residential Demand Heating Rural Detached -  - High </v>
      </c>
      <c r="F13" s="78" t="s">
        <v>46</v>
      </c>
      <c r="G13" s="78" t="s">
        <v>46</v>
      </c>
      <c r="H13" s="77"/>
      <c r="I13" s="83"/>
      <c r="J13" s="77"/>
      <c r="K13" s="77"/>
      <c r="L13" s="106" t="s">
        <v>787</v>
      </c>
      <c r="M13" s="127" t="s">
        <v>739</v>
      </c>
      <c r="N13" s="127" t="s">
        <v>102</v>
      </c>
      <c r="O13" s="127" t="s">
        <v>715</v>
      </c>
      <c r="Q13" s="106" t="s">
        <v>728</v>
      </c>
    </row>
    <row r="14" spans="2:19">
      <c r="B14" s="77"/>
      <c r="C14" s="77"/>
      <c r="D14" s="133" t="str">
        <f t="shared" si="1"/>
        <v>CDHRDN</v>
      </c>
      <c r="E14" s="133" t="str">
        <f t="shared" si="0"/>
        <v xml:space="preserve">Residential Demand Heating Rural Detached -  - New </v>
      </c>
      <c r="F14" s="78" t="s">
        <v>46</v>
      </c>
      <c r="G14" s="78" t="s">
        <v>46</v>
      </c>
      <c r="H14" s="77"/>
      <c r="I14" s="83"/>
      <c r="J14" s="77"/>
      <c r="K14" s="77"/>
      <c r="L14" s="106" t="s">
        <v>787</v>
      </c>
      <c r="M14" s="127" t="s">
        <v>739</v>
      </c>
      <c r="N14" s="127" t="s">
        <v>102</v>
      </c>
      <c r="O14" s="127" t="s">
        <v>715</v>
      </c>
      <c r="Q14" s="106" t="s">
        <v>51</v>
      </c>
    </row>
    <row r="15" spans="2:19">
      <c r="B15" s="77"/>
      <c r="C15" s="77"/>
      <c r="D15" s="133" t="str">
        <f t="shared" si="1"/>
        <v>CDHUML</v>
      </c>
      <c r="E15" s="133" t="str">
        <f t="shared" si="0"/>
        <v xml:space="preserve">Residential Demand Heating Urban Multi -  - Low </v>
      </c>
      <c r="F15" s="78" t="s">
        <v>46</v>
      </c>
      <c r="G15" s="78" t="s">
        <v>46</v>
      </c>
      <c r="H15" s="77"/>
      <c r="I15" s="83"/>
      <c r="J15" s="78"/>
      <c r="K15" s="78"/>
      <c r="L15" s="106" t="s">
        <v>787</v>
      </c>
      <c r="M15" s="127" t="s">
        <v>739</v>
      </c>
      <c r="N15" s="127" t="s">
        <v>721</v>
      </c>
      <c r="O15" s="127" t="s">
        <v>714</v>
      </c>
      <c r="Q15" s="106" t="s">
        <v>726</v>
      </c>
    </row>
    <row r="16" spans="2:19">
      <c r="B16" s="77"/>
      <c r="C16" s="77"/>
      <c r="D16" s="133" t="str">
        <f t="shared" si="1"/>
        <v>CDHUMM</v>
      </c>
      <c r="E16" s="133" t="str">
        <f t="shared" si="0"/>
        <v xml:space="preserve">Residential Demand Heating Urban Multi -  - Medium </v>
      </c>
      <c r="F16" s="78" t="s">
        <v>46</v>
      </c>
      <c r="G16" s="78" t="s">
        <v>46</v>
      </c>
      <c r="H16" s="77"/>
      <c r="I16" s="83"/>
      <c r="J16" s="77"/>
      <c r="K16" s="64"/>
      <c r="L16" s="106" t="s">
        <v>787</v>
      </c>
      <c r="M16" s="127" t="s">
        <v>739</v>
      </c>
      <c r="N16" s="127" t="s">
        <v>721</v>
      </c>
      <c r="O16" s="127" t="s">
        <v>714</v>
      </c>
      <c r="Q16" s="106" t="s">
        <v>727</v>
      </c>
    </row>
    <row r="17" spans="2:17">
      <c r="B17" s="77"/>
      <c r="C17" s="77"/>
      <c r="D17" s="133" t="str">
        <f t="shared" si="1"/>
        <v>CDHUMH</v>
      </c>
      <c r="E17" s="133" t="str">
        <f t="shared" si="0"/>
        <v xml:space="preserve">Residential Demand Heating Urban Multi -  - High </v>
      </c>
      <c r="F17" s="78" t="s">
        <v>46</v>
      </c>
      <c r="G17" s="78" t="s">
        <v>46</v>
      </c>
      <c r="H17" s="77"/>
      <c r="I17" s="83"/>
      <c r="J17" s="77"/>
      <c r="K17" s="64"/>
      <c r="L17" s="106" t="s">
        <v>787</v>
      </c>
      <c r="M17" s="127" t="s">
        <v>739</v>
      </c>
      <c r="N17" s="127" t="s">
        <v>721</v>
      </c>
      <c r="O17" s="127" t="s">
        <v>714</v>
      </c>
      <c r="Q17" s="106" t="s">
        <v>728</v>
      </c>
    </row>
    <row r="18" spans="2:17">
      <c r="B18" s="77"/>
      <c r="C18" s="77"/>
      <c r="D18" s="133" t="str">
        <f t="shared" si="1"/>
        <v>CDHUMN</v>
      </c>
      <c r="E18" s="133" t="str">
        <f t="shared" si="0"/>
        <v xml:space="preserve">Residential Demand Heating Urban Multi -  - New </v>
      </c>
      <c r="F18" s="78" t="s">
        <v>46</v>
      </c>
      <c r="G18" s="78" t="s">
        <v>46</v>
      </c>
      <c r="H18" s="77"/>
      <c r="I18" s="83"/>
      <c r="J18" s="77"/>
      <c r="K18" s="77"/>
      <c r="L18" s="106" t="s">
        <v>787</v>
      </c>
      <c r="M18" s="127" t="s">
        <v>739</v>
      </c>
      <c r="N18" s="127" t="s">
        <v>721</v>
      </c>
      <c r="O18" s="127" t="s">
        <v>714</v>
      </c>
      <c r="Q18" s="106" t="s">
        <v>51</v>
      </c>
    </row>
    <row r="19" spans="2:17">
      <c r="B19" s="77"/>
      <c r="C19" s="77"/>
      <c r="D19" s="133" t="str">
        <f t="shared" si="1"/>
        <v>CDHRML</v>
      </c>
      <c r="E19" s="133" t="str">
        <f t="shared" si="0"/>
        <v xml:space="preserve">Residential Demand Heating Rural Multi -  - Low </v>
      </c>
      <c r="F19" s="78" t="s">
        <v>46</v>
      </c>
      <c r="G19" s="78" t="s">
        <v>46</v>
      </c>
      <c r="H19" s="77"/>
      <c r="I19" s="83"/>
      <c r="J19" s="77"/>
      <c r="K19" s="77"/>
      <c r="L19" s="106" t="s">
        <v>787</v>
      </c>
      <c r="M19" s="127" t="s">
        <v>739</v>
      </c>
      <c r="N19" s="127" t="s">
        <v>721</v>
      </c>
      <c r="O19" s="127" t="s">
        <v>715</v>
      </c>
      <c r="Q19" s="106" t="s">
        <v>726</v>
      </c>
    </row>
    <row r="20" spans="2:17">
      <c r="B20" s="77"/>
      <c r="C20" s="77"/>
      <c r="D20" s="133" t="str">
        <f t="shared" si="1"/>
        <v>CDHRMM</v>
      </c>
      <c r="E20" s="133" t="str">
        <f t="shared" si="0"/>
        <v xml:space="preserve">Residential Demand Heating Rural Multi -  - Medium </v>
      </c>
      <c r="F20" s="78" t="s">
        <v>46</v>
      </c>
      <c r="G20" s="78" t="s">
        <v>46</v>
      </c>
      <c r="H20" s="77"/>
      <c r="I20" s="83"/>
      <c r="J20" s="77"/>
      <c r="K20" s="77"/>
      <c r="L20" s="106" t="s">
        <v>787</v>
      </c>
      <c r="M20" s="127" t="s">
        <v>739</v>
      </c>
      <c r="N20" s="127" t="s">
        <v>721</v>
      </c>
      <c r="O20" s="127" t="s">
        <v>715</v>
      </c>
      <c r="Q20" s="106" t="s">
        <v>727</v>
      </c>
    </row>
    <row r="21" spans="2:17">
      <c r="B21" s="77"/>
      <c r="C21" s="77"/>
      <c r="D21" s="133" t="str">
        <f t="shared" si="1"/>
        <v>CDHRMH</v>
      </c>
      <c r="E21" s="133" t="str">
        <f t="shared" si="0"/>
        <v xml:space="preserve">Residential Demand Heating Rural Multi -  - High </v>
      </c>
      <c r="F21" s="78" t="s">
        <v>46</v>
      </c>
      <c r="G21" s="78" t="s">
        <v>46</v>
      </c>
      <c r="H21" s="77"/>
      <c r="I21" s="83"/>
      <c r="J21" s="77"/>
      <c r="K21" s="77"/>
      <c r="L21" s="106" t="s">
        <v>787</v>
      </c>
      <c r="M21" s="127" t="s">
        <v>739</v>
      </c>
      <c r="N21" s="127" t="s">
        <v>721</v>
      </c>
      <c r="O21" s="127" t="s">
        <v>715</v>
      </c>
      <c r="Q21" s="106" t="s">
        <v>728</v>
      </c>
    </row>
    <row r="22" spans="2:17">
      <c r="B22" s="491"/>
      <c r="C22" s="491"/>
      <c r="D22" s="486" t="str">
        <f t="shared" si="1"/>
        <v>CDHRMN</v>
      </c>
      <c r="E22" s="133" t="str">
        <f t="shared" si="0"/>
        <v xml:space="preserve">Residential Demand Heating Rural Multi -  - New </v>
      </c>
      <c r="F22" s="485" t="s">
        <v>46</v>
      </c>
      <c r="G22" s="485" t="s">
        <v>46</v>
      </c>
      <c r="H22" s="491"/>
      <c r="I22" s="494"/>
      <c r="J22" s="491"/>
      <c r="K22" s="77"/>
      <c r="L22" s="106" t="s">
        <v>787</v>
      </c>
      <c r="M22" s="127" t="s">
        <v>739</v>
      </c>
      <c r="N22" s="127" t="s">
        <v>721</v>
      </c>
      <c r="O22" s="127" t="s">
        <v>715</v>
      </c>
      <c r="Q22" s="106" t="s">
        <v>51</v>
      </c>
    </row>
    <row r="23" spans="2:17">
      <c r="B23" s="77"/>
      <c r="C23" s="77"/>
      <c r="D23" s="133" t="str">
        <f t="shared" si="1"/>
        <v>CDCUDL</v>
      </c>
      <c r="E23" s="133" t="str">
        <f t="shared" si="0"/>
        <v xml:space="preserve">Residential Demand Cooling Urban Detached -  - Low </v>
      </c>
      <c r="F23" s="78" t="s">
        <v>46</v>
      </c>
      <c r="G23" s="78" t="s">
        <v>46</v>
      </c>
      <c r="H23" s="77"/>
      <c r="I23" s="83"/>
      <c r="J23" s="77"/>
      <c r="K23" s="77"/>
      <c r="L23" s="106" t="s">
        <v>787</v>
      </c>
      <c r="M23" s="127" t="s">
        <v>273</v>
      </c>
      <c r="N23" s="127" t="s">
        <v>102</v>
      </c>
      <c r="O23" s="127" t="s">
        <v>714</v>
      </c>
      <c r="Q23" s="106" t="s">
        <v>726</v>
      </c>
    </row>
    <row r="24" spans="2:17">
      <c r="B24" s="77"/>
      <c r="C24" s="77"/>
      <c r="D24" s="133" t="str">
        <f t="shared" si="1"/>
        <v>CDCUDM</v>
      </c>
      <c r="E24" s="133" t="str">
        <f t="shared" si="0"/>
        <v xml:space="preserve">Residential Demand Cooling Urban Detached -  - Medium </v>
      </c>
      <c r="F24" s="78" t="s">
        <v>46</v>
      </c>
      <c r="G24" s="78" t="s">
        <v>46</v>
      </c>
      <c r="H24" s="77"/>
      <c r="I24" s="83"/>
      <c r="J24" s="77"/>
      <c r="K24" s="77"/>
      <c r="L24" s="106" t="s">
        <v>787</v>
      </c>
      <c r="M24" s="127" t="s">
        <v>273</v>
      </c>
      <c r="N24" s="127" t="s">
        <v>102</v>
      </c>
      <c r="O24" s="127" t="s">
        <v>714</v>
      </c>
      <c r="Q24" s="106" t="s">
        <v>727</v>
      </c>
    </row>
    <row r="25" spans="2:17">
      <c r="B25" s="77"/>
      <c r="C25" s="77"/>
      <c r="D25" s="133" t="str">
        <f t="shared" si="1"/>
        <v>CDCUDH</v>
      </c>
      <c r="E25" s="133" t="str">
        <f t="shared" si="0"/>
        <v xml:space="preserve">Residential Demand Cooling Urban Detached -  - High </v>
      </c>
      <c r="F25" s="78" t="s">
        <v>46</v>
      </c>
      <c r="G25" s="78" t="s">
        <v>46</v>
      </c>
      <c r="H25" s="77"/>
      <c r="I25" s="83"/>
      <c r="J25" s="77"/>
      <c r="K25" s="77"/>
      <c r="L25" s="106" t="s">
        <v>787</v>
      </c>
      <c r="M25" s="127" t="s">
        <v>273</v>
      </c>
      <c r="N25" s="127" t="s">
        <v>102</v>
      </c>
      <c r="O25" s="127" t="s">
        <v>714</v>
      </c>
      <c r="Q25" s="106" t="s">
        <v>728</v>
      </c>
    </row>
    <row r="26" spans="2:17">
      <c r="B26" s="77"/>
      <c r="C26" s="77"/>
      <c r="D26" s="133" t="str">
        <f t="shared" si="1"/>
        <v>CDCUDN</v>
      </c>
      <c r="E26" s="133" t="str">
        <f t="shared" si="0"/>
        <v xml:space="preserve">Residential Demand Cooling Urban Detached -  - New </v>
      </c>
      <c r="F26" s="78" t="s">
        <v>46</v>
      </c>
      <c r="G26" s="78" t="s">
        <v>46</v>
      </c>
      <c r="H26" s="77"/>
      <c r="I26" s="83"/>
      <c r="J26" s="77"/>
      <c r="K26" s="77"/>
      <c r="L26" s="106" t="s">
        <v>787</v>
      </c>
      <c r="M26" s="127" t="s">
        <v>273</v>
      </c>
      <c r="N26" s="127" t="s">
        <v>102</v>
      </c>
      <c r="O26" s="127" t="s">
        <v>714</v>
      </c>
      <c r="Q26" s="106" t="s">
        <v>51</v>
      </c>
    </row>
    <row r="27" spans="2:17">
      <c r="B27" s="77"/>
      <c r="C27" s="77"/>
      <c r="D27" s="133" t="str">
        <f t="shared" si="1"/>
        <v>CDCRDL</v>
      </c>
      <c r="E27" s="133" t="str">
        <f t="shared" si="0"/>
        <v xml:space="preserve">Residential Demand Cooling Rural Detached -  - Low </v>
      </c>
      <c r="F27" s="78" t="s">
        <v>46</v>
      </c>
      <c r="G27" s="78" t="s">
        <v>46</v>
      </c>
      <c r="H27" s="77"/>
      <c r="I27" s="83"/>
      <c r="J27" s="77"/>
      <c r="K27" s="77"/>
      <c r="L27" s="106" t="s">
        <v>787</v>
      </c>
      <c r="M27" s="127" t="s">
        <v>273</v>
      </c>
      <c r="N27" s="127" t="s">
        <v>102</v>
      </c>
      <c r="O27" s="127" t="s">
        <v>715</v>
      </c>
      <c r="Q27" s="106" t="s">
        <v>726</v>
      </c>
    </row>
    <row r="28" spans="2:17">
      <c r="B28" s="77"/>
      <c r="C28" s="77"/>
      <c r="D28" s="133" t="str">
        <f t="shared" si="1"/>
        <v>CDCRDM</v>
      </c>
      <c r="E28" s="133" t="str">
        <f t="shared" si="0"/>
        <v xml:space="preserve">Residential Demand Cooling Rural Detached -  - Medium </v>
      </c>
      <c r="F28" s="78" t="s">
        <v>46</v>
      </c>
      <c r="G28" s="78" t="s">
        <v>46</v>
      </c>
      <c r="H28" s="77"/>
      <c r="I28" s="83"/>
      <c r="J28" s="77"/>
      <c r="K28" s="77"/>
      <c r="L28" s="106" t="s">
        <v>787</v>
      </c>
      <c r="M28" s="127" t="s">
        <v>273</v>
      </c>
      <c r="N28" s="127" t="s">
        <v>102</v>
      </c>
      <c r="O28" s="127" t="s">
        <v>715</v>
      </c>
      <c r="Q28" s="106" t="s">
        <v>727</v>
      </c>
    </row>
    <row r="29" spans="2:17">
      <c r="B29" s="77"/>
      <c r="C29" s="77"/>
      <c r="D29" s="133" t="str">
        <f t="shared" si="1"/>
        <v>CDCRDH</v>
      </c>
      <c r="E29" s="133" t="str">
        <f t="shared" si="0"/>
        <v xml:space="preserve">Residential Demand Cooling Rural Detached -  - High </v>
      </c>
      <c r="F29" s="78" t="s">
        <v>46</v>
      </c>
      <c r="G29" s="78" t="s">
        <v>46</v>
      </c>
      <c r="H29" s="77"/>
      <c r="I29" s="83"/>
      <c r="J29" s="77"/>
      <c r="K29" s="77"/>
      <c r="L29" s="106" t="s">
        <v>787</v>
      </c>
      <c r="M29" s="127" t="s">
        <v>273</v>
      </c>
      <c r="N29" s="127" t="s">
        <v>102</v>
      </c>
      <c r="O29" s="127" t="s">
        <v>715</v>
      </c>
      <c r="Q29" s="106" t="s">
        <v>728</v>
      </c>
    </row>
    <row r="30" spans="2:17">
      <c r="B30" s="77"/>
      <c r="C30" s="77"/>
      <c r="D30" s="133" t="str">
        <f t="shared" si="1"/>
        <v>CDCRDN</v>
      </c>
      <c r="E30" s="133" t="str">
        <f t="shared" si="0"/>
        <v xml:space="preserve">Residential Demand Cooling Rural Detached -  - New </v>
      </c>
      <c r="F30" s="78" t="s">
        <v>46</v>
      </c>
      <c r="G30" s="78" t="s">
        <v>46</v>
      </c>
      <c r="H30" s="77"/>
      <c r="I30" s="83"/>
      <c r="J30" s="77"/>
      <c r="K30" s="77"/>
      <c r="L30" s="106" t="s">
        <v>787</v>
      </c>
      <c r="M30" s="127" t="s">
        <v>273</v>
      </c>
      <c r="N30" s="127" t="s">
        <v>102</v>
      </c>
      <c r="O30" s="127" t="s">
        <v>715</v>
      </c>
      <c r="Q30" s="106" t="s">
        <v>51</v>
      </c>
    </row>
    <row r="31" spans="2:17">
      <c r="B31" s="77"/>
      <c r="C31" s="77"/>
      <c r="D31" s="133" t="str">
        <f t="shared" si="1"/>
        <v>CDCUML</v>
      </c>
      <c r="E31" s="133" t="str">
        <f t="shared" si="0"/>
        <v xml:space="preserve">Residential Demand Cooling Urban Multi -  - Low </v>
      </c>
      <c r="F31" s="78" t="s">
        <v>46</v>
      </c>
      <c r="G31" s="78" t="s">
        <v>46</v>
      </c>
      <c r="H31" s="77"/>
      <c r="I31" s="83"/>
      <c r="J31" s="77"/>
      <c r="K31" s="77"/>
      <c r="L31" s="106" t="s">
        <v>787</v>
      </c>
      <c r="M31" s="127" t="s">
        <v>273</v>
      </c>
      <c r="N31" s="127" t="s">
        <v>721</v>
      </c>
      <c r="O31" s="127" t="s">
        <v>714</v>
      </c>
      <c r="Q31" s="106" t="s">
        <v>726</v>
      </c>
    </row>
    <row r="32" spans="2:17">
      <c r="B32" s="77"/>
      <c r="C32" s="77"/>
      <c r="D32" s="133" t="str">
        <f t="shared" si="1"/>
        <v>CDCUMM</v>
      </c>
      <c r="E32" s="133" t="str">
        <f t="shared" si="0"/>
        <v xml:space="preserve">Residential Demand Cooling Urban Multi -  - Medium </v>
      </c>
      <c r="F32" s="78" t="s">
        <v>46</v>
      </c>
      <c r="G32" s="78" t="s">
        <v>46</v>
      </c>
      <c r="H32" s="77"/>
      <c r="I32" s="83"/>
      <c r="J32" s="77"/>
      <c r="K32" s="77"/>
      <c r="L32" s="106" t="s">
        <v>787</v>
      </c>
      <c r="M32" s="127" t="s">
        <v>273</v>
      </c>
      <c r="N32" s="127" t="s">
        <v>721</v>
      </c>
      <c r="O32" s="127" t="s">
        <v>714</v>
      </c>
      <c r="Q32" s="106" t="s">
        <v>727</v>
      </c>
    </row>
    <row r="33" spans="2:20">
      <c r="B33" s="77"/>
      <c r="C33" s="77"/>
      <c r="D33" s="133" t="str">
        <f t="shared" si="1"/>
        <v>CDCUMH</v>
      </c>
      <c r="E33" s="133" t="str">
        <f t="shared" si="0"/>
        <v xml:space="preserve">Residential Demand Cooling Urban Multi -  - High </v>
      </c>
      <c r="F33" s="78" t="s">
        <v>46</v>
      </c>
      <c r="G33" s="78" t="s">
        <v>46</v>
      </c>
      <c r="H33" s="77"/>
      <c r="I33" s="83"/>
      <c r="J33" s="77"/>
      <c r="K33" s="77"/>
      <c r="L33" s="106" t="s">
        <v>787</v>
      </c>
      <c r="M33" s="127" t="s">
        <v>273</v>
      </c>
      <c r="N33" s="127" t="s">
        <v>721</v>
      </c>
      <c r="O33" s="127" t="s">
        <v>714</v>
      </c>
      <c r="Q33" s="106" t="s">
        <v>728</v>
      </c>
    </row>
    <row r="34" spans="2:20">
      <c r="B34" s="77"/>
      <c r="C34" s="77"/>
      <c r="D34" s="133" t="str">
        <f t="shared" si="1"/>
        <v>CDCUMN</v>
      </c>
      <c r="E34" s="133" t="str">
        <f t="shared" si="0"/>
        <v xml:space="preserve">Residential Demand Cooling Urban Multi -  - New </v>
      </c>
      <c r="F34" s="78" t="s">
        <v>46</v>
      </c>
      <c r="G34" s="78" t="s">
        <v>46</v>
      </c>
      <c r="H34" s="77"/>
      <c r="I34" s="83"/>
      <c r="J34" s="77"/>
      <c r="K34" s="77"/>
      <c r="L34" s="106" t="s">
        <v>787</v>
      </c>
      <c r="M34" s="127" t="s">
        <v>273</v>
      </c>
      <c r="N34" s="127" t="s">
        <v>721</v>
      </c>
      <c r="O34" s="127" t="s">
        <v>714</v>
      </c>
      <c r="Q34" s="106" t="s">
        <v>51</v>
      </c>
    </row>
    <row r="35" spans="2:20">
      <c r="B35" s="77"/>
      <c r="C35" s="77"/>
      <c r="D35" s="133" t="str">
        <f t="shared" si="1"/>
        <v>CDCRML</v>
      </c>
      <c r="E35" s="133" t="str">
        <f t="shared" si="0"/>
        <v xml:space="preserve">Residential Demand Cooling Rural Multi -  - Low </v>
      </c>
      <c r="F35" s="78" t="s">
        <v>46</v>
      </c>
      <c r="G35" s="78" t="s">
        <v>46</v>
      </c>
      <c r="H35" s="77"/>
      <c r="I35" s="83"/>
      <c r="J35" s="77"/>
      <c r="K35" s="77"/>
      <c r="L35" s="106" t="s">
        <v>787</v>
      </c>
      <c r="M35" s="127" t="s">
        <v>273</v>
      </c>
      <c r="N35" s="127" t="s">
        <v>721</v>
      </c>
      <c r="O35" s="127" t="s">
        <v>715</v>
      </c>
      <c r="Q35" s="106" t="s">
        <v>726</v>
      </c>
    </row>
    <row r="36" spans="2:20">
      <c r="B36" s="77"/>
      <c r="C36" s="77"/>
      <c r="D36" s="133" t="str">
        <f t="shared" si="1"/>
        <v>CDCRMM</v>
      </c>
      <c r="E36" s="133" t="str">
        <f t="shared" si="0"/>
        <v xml:space="preserve">Residential Demand Cooling Rural Multi -  - Medium </v>
      </c>
      <c r="F36" s="78" t="s">
        <v>46</v>
      </c>
      <c r="G36" s="78" t="s">
        <v>46</v>
      </c>
      <c r="H36" s="77"/>
      <c r="I36" s="83"/>
      <c r="J36" s="77"/>
      <c r="K36" s="77"/>
      <c r="L36" s="106" t="s">
        <v>787</v>
      </c>
      <c r="M36" s="127" t="s">
        <v>273</v>
      </c>
      <c r="N36" s="127" t="s">
        <v>721</v>
      </c>
      <c r="O36" s="127" t="s">
        <v>715</v>
      </c>
      <c r="Q36" s="106" t="s">
        <v>727</v>
      </c>
    </row>
    <row r="37" spans="2:20">
      <c r="B37" s="77"/>
      <c r="C37" s="77"/>
      <c r="D37" s="133" t="str">
        <f t="shared" si="1"/>
        <v>CDCRMH</v>
      </c>
      <c r="E37" s="133" t="str">
        <f t="shared" si="0"/>
        <v xml:space="preserve">Residential Demand Cooling Rural Multi -  - High </v>
      </c>
      <c r="F37" s="78" t="s">
        <v>46</v>
      </c>
      <c r="G37" s="78" t="s">
        <v>46</v>
      </c>
      <c r="H37" s="77"/>
      <c r="I37" s="83"/>
      <c r="J37" s="77"/>
      <c r="K37" s="77"/>
      <c r="L37" s="106" t="s">
        <v>787</v>
      </c>
      <c r="M37" s="127" t="s">
        <v>273</v>
      </c>
      <c r="N37" s="127" t="s">
        <v>721</v>
      </c>
      <c r="O37" s="127" t="s">
        <v>715</v>
      </c>
      <c r="Q37" s="106" t="s">
        <v>728</v>
      </c>
    </row>
    <row r="38" spans="2:20">
      <c r="B38" s="491"/>
      <c r="C38" s="491"/>
      <c r="D38" s="486" t="str">
        <f t="shared" si="1"/>
        <v>CDCRMN</v>
      </c>
      <c r="E38" s="486" t="str">
        <f t="shared" si="0"/>
        <v xml:space="preserve">Residential Demand Cooling Rural Multi -  - New </v>
      </c>
      <c r="F38" s="485" t="s">
        <v>46</v>
      </c>
      <c r="G38" s="485" t="s">
        <v>46</v>
      </c>
      <c r="H38" s="491"/>
      <c r="I38" s="494"/>
      <c r="J38" s="491"/>
      <c r="K38" s="77"/>
      <c r="L38" s="106" t="s">
        <v>787</v>
      </c>
      <c r="M38" s="127" t="s">
        <v>273</v>
      </c>
      <c r="N38" s="127" t="s">
        <v>721</v>
      </c>
      <c r="O38" s="127" t="s">
        <v>715</v>
      </c>
      <c r="Q38" s="106" t="s">
        <v>51</v>
      </c>
    </row>
    <row r="39" spans="2:20" ht="13">
      <c r="B39" s="77"/>
      <c r="C39" s="77"/>
      <c r="D39" s="133" t="str">
        <f t="shared" si="1"/>
        <v>CFTLPGE1</v>
      </c>
      <c r="E39" s="133" t="str">
        <f t="shared" si="0"/>
        <v>Residential Food (Cooking) Technology   - LPG - Existing 1</v>
      </c>
      <c r="F39" s="133" t="s">
        <v>44</v>
      </c>
      <c r="G39" s="133" t="s">
        <v>65</v>
      </c>
      <c r="H39" s="79" t="s">
        <v>98</v>
      </c>
      <c r="I39" s="83"/>
      <c r="J39" s="77"/>
      <c r="K39" s="77"/>
      <c r="L39" s="133" t="s">
        <v>805</v>
      </c>
      <c r="M39" s="127" t="s">
        <v>746</v>
      </c>
      <c r="O39" s="127"/>
      <c r="P39" t="str">
        <f t="shared" ref="P39:P46" si="2">RIGHT(S39,LEN(S39)-3)</f>
        <v>LPG</v>
      </c>
      <c r="Q39" s="106" t="s">
        <v>806</v>
      </c>
      <c r="R39">
        <v>1</v>
      </c>
      <c r="S39" s="259" t="str">
        <f>Commodities!$C$20</f>
        <v>COMLPG</v>
      </c>
      <c r="T39" t="str">
        <f>VLOOKUP(S39,Commodities!$C$18:$R$38,16,FALSE)</f>
        <v>LPG</v>
      </c>
    </row>
    <row r="40" spans="2:20" ht="13">
      <c r="B40" s="77"/>
      <c r="C40" s="77"/>
      <c r="D40" s="133" t="str">
        <f t="shared" si="1"/>
        <v>CFTNGAE1</v>
      </c>
      <c r="E40" s="133" t="str">
        <f t="shared" si="0"/>
        <v>Residential Food (Cooking) Technology   - Natural Gas - Existing 1</v>
      </c>
      <c r="F40" s="133" t="s">
        <v>44</v>
      </c>
      <c r="G40" s="133" t="s">
        <v>65</v>
      </c>
      <c r="H40" s="79" t="s">
        <v>98</v>
      </c>
      <c r="I40" s="83"/>
      <c r="J40" s="77"/>
      <c r="K40" s="77"/>
      <c r="L40" s="133" t="s">
        <v>805</v>
      </c>
      <c r="M40" s="127" t="s">
        <v>746</v>
      </c>
      <c r="O40" s="127"/>
      <c r="P40" t="str">
        <f t="shared" si="2"/>
        <v>NGA</v>
      </c>
      <c r="Q40" s="106" t="s">
        <v>806</v>
      </c>
      <c r="R40">
        <v>1</v>
      </c>
      <c r="S40" s="259" t="str">
        <f>Commodities!$C$18</f>
        <v>COMNGA</v>
      </c>
      <c r="T40" t="str">
        <f>VLOOKUP(S40,Commodities!$C$18:$R$38,16,FALSE)</f>
        <v>Natural Gas</v>
      </c>
    </row>
    <row r="41" spans="2:20" s="608" customFormat="1" ht="13">
      <c r="B41" s="615"/>
      <c r="C41" s="615"/>
      <c r="D41" s="616" t="str">
        <f t="shared" ref="D41" si="3">LEFT($D$2,1)&amp;LEFT(L41,1)&amp;LEFT(M41,1)&amp;LEFT(O41,1)&amp;LEFT(N41,1)&amp;P41&amp;LEFT(Q41,1)&amp;R41</f>
        <v>CFTELCOE1</v>
      </c>
      <c r="E41" s="616" t="str">
        <f t="shared" ref="E41" si="4">$E$2&amp;" "&amp;L41&amp;" "&amp;M41&amp;" "&amp;O41&amp;" "&amp;N41&amp;" - "&amp;T41&amp;" - "&amp;Q41&amp;" "&amp;R41</f>
        <v>Residential Food (Cooking) Technology   - Electricity Cooking - Existing 1</v>
      </c>
      <c r="F41" s="616" t="s">
        <v>44</v>
      </c>
      <c r="G41" s="616" t="s">
        <v>65</v>
      </c>
      <c r="H41" s="607" t="s">
        <v>98</v>
      </c>
      <c r="I41" s="617"/>
      <c r="J41" s="615"/>
      <c r="K41" s="615"/>
      <c r="L41" s="616" t="s">
        <v>805</v>
      </c>
      <c r="M41" s="618" t="s">
        <v>746</v>
      </c>
      <c r="O41" s="618"/>
      <c r="P41" s="608" t="str">
        <f>RIGHT(S41,LEN(S41)-3)</f>
        <v>ELCO</v>
      </c>
      <c r="Q41" s="619" t="s">
        <v>806</v>
      </c>
      <c r="R41" s="608">
        <v>1</v>
      </c>
      <c r="S41" s="620" t="str">
        <f>Commodities!$C$32</f>
        <v>COMELCO</v>
      </c>
      <c r="T41" s="608" t="str">
        <f>VLOOKUP(S41,Commodities!$C$18:$R$38,16,FALSE)</f>
        <v>Electricity Cooking</v>
      </c>
    </row>
    <row r="42" spans="2:20" s="608" customFormat="1" ht="13">
      <c r="B42" s="615"/>
      <c r="C42" s="615"/>
      <c r="D42" s="616" t="str">
        <f t="shared" ref="D42" si="5">LEFT($D$2,1)&amp;LEFT(L42,1)&amp;LEFT(M42,1)&amp;LEFT(O42,1)&amp;LEFT(N42,1)&amp;P42&amp;LEFT(Q42,1)&amp;R42</f>
        <v>CFTFIWE1</v>
      </c>
      <c r="E42" s="616" t="str">
        <f t="shared" ref="E42" si="6">$E$2&amp;" "&amp;L42&amp;" "&amp;M42&amp;" "&amp;O42&amp;" "&amp;N42&amp;" - "&amp;T42&amp;" - "&amp;Q42&amp;" "&amp;R42</f>
        <v>Residential Food (Cooking) Technology   - Fire wood - Existing 1</v>
      </c>
      <c r="F42" s="616" t="s">
        <v>44</v>
      </c>
      <c r="G42" s="616" t="s">
        <v>65</v>
      </c>
      <c r="H42" s="607" t="s">
        <v>98</v>
      </c>
      <c r="I42" s="617"/>
      <c r="J42" s="615"/>
      <c r="K42" s="615"/>
      <c r="L42" s="616" t="s">
        <v>805</v>
      </c>
      <c r="M42" s="618" t="s">
        <v>746</v>
      </c>
      <c r="O42" s="618"/>
      <c r="P42" s="608" t="str">
        <f>RIGHT(S42,LEN(S42)-3)</f>
        <v>FIW</v>
      </c>
      <c r="Q42" s="619" t="s">
        <v>806</v>
      </c>
      <c r="R42" s="608">
        <v>1</v>
      </c>
      <c r="S42" s="620" t="str">
        <f>Commodities!$C$24</f>
        <v>COMFIW</v>
      </c>
      <c r="T42" s="608" t="str">
        <f>VLOOKUP(S42,Commodities!$C$18:$R$38,16,FALSE)</f>
        <v>Fire wood</v>
      </c>
    </row>
    <row r="43" spans="2:20" ht="13">
      <c r="B43" s="77"/>
      <c r="C43" s="77"/>
      <c r="D43" s="133" t="str">
        <f t="shared" si="1"/>
        <v>CATELCAE1</v>
      </c>
      <c r="E43" s="133" t="str">
        <f t="shared" si="0"/>
        <v>Residential Appliances Technology   - Electricity Appliances - Existing 1</v>
      </c>
      <c r="F43" s="133" t="s">
        <v>44</v>
      </c>
      <c r="G43" s="133" t="s">
        <v>65</v>
      </c>
      <c r="H43" s="79" t="s">
        <v>98</v>
      </c>
      <c r="I43" s="83"/>
      <c r="J43" s="77"/>
      <c r="K43" s="77"/>
      <c r="L43" s="133" t="s">
        <v>272</v>
      </c>
      <c r="M43" s="127" t="s">
        <v>746</v>
      </c>
      <c r="O43" s="127"/>
      <c r="P43" t="str">
        <f t="shared" si="2"/>
        <v>ELCA</v>
      </c>
      <c r="Q43" s="106" t="s">
        <v>806</v>
      </c>
      <c r="R43">
        <v>1</v>
      </c>
      <c r="S43" s="259" t="str">
        <f>Commodities!$C$31</f>
        <v>COMELCA</v>
      </c>
      <c r="T43" t="str">
        <f>VLOOKUP(S43,Commodities!$C$18:$R$38,16,FALSE)</f>
        <v>Electricity Appliances</v>
      </c>
    </row>
    <row r="44" spans="2:20">
      <c r="B44" s="77"/>
      <c r="C44" s="77"/>
      <c r="D44" s="133" t="str">
        <f t="shared" si="1"/>
        <v>CATGSLE1</v>
      </c>
      <c r="E44" s="133" t="str">
        <f t="shared" si="0"/>
        <v>Residential Appliances Technology   - Gasoline - Existing 1</v>
      </c>
      <c r="F44" s="133" t="s">
        <v>44</v>
      </c>
      <c r="G44" s="133" t="s">
        <v>65</v>
      </c>
      <c r="H44" s="79" t="s">
        <v>98</v>
      </c>
      <c r="I44" s="83"/>
      <c r="J44" s="77"/>
      <c r="K44" s="77"/>
      <c r="L44" s="133" t="s">
        <v>272</v>
      </c>
      <c r="M44" s="127" t="s">
        <v>746</v>
      </c>
      <c r="O44" s="127"/>
      <c r="P44" t="str">
        <f t="shared" si="2"/>
        <v>GSL</v>
      </c>
      <c r="Q44" s="106" t="s">
        <v>806</v>
      </c>
      <c r="R44">
        <v>1</v>
      </c>
      <c r="S44" s="1" t="str">
        <f>Commodities!$C$22</f>
        <v>COMGSL</v>
      </c>
      <c r="T44" t="str">
        <f>VLOOKUP(S44,Commodities!$C$18:$R$38,16,FALSE)</f>
        <v>Gasoline</v>
      </c>
    </row>
    <row r="45" spans="2:20" ht="13">
      <c r="B45" s="77"/>
      <c r="C45" s="77"/>
      <c r="D45" s="133" t="str">
        <f t="shared" si="1"/>
        <v>CWTLPGE1</v>
      </c>
      <c r="E45" s="133" t="str">
        <f t="shared" si="0"/>
        <v>Residential Water Hot Technology   - LPG - Existing 1</v>
      </c>
      <c r="F45" s="133" t="s">
        <v>44</v>
      </c>
      <c r="G45" s="133" t="s">
        <v>65</v>
      </c>
      <c r="H45" s="79" t="s">
        <v>98</v>
      </c>
      <c r="I45" s="83"/>
      <c r="J45" s="77"/>
      <c r="K45" s="77"/>
      <c r="L45" s="133" t="s">
        <v>789</v>
      </c>
      <c r="M45" s="127" t="s">
        <v>746</v>
      </c>
      <c r="O45" s="127"/>
      <c r="P45" t="str">
        <f t="shared" si="2"/>
        <v>LPG</v>
      </c>
      <c r="Q45" s="106" t="s">
        <v>806</v>
      </c>
      <c r="R45">
        <v>1</v>
      </c>
      <c r="S45" s="259" t="str">
        <f>Commodities!$C$20</f>
        <v>COMLPG</v>
      </c>
      <c r="T45" t="str">
        <f>VLOOKUP(S45,Commodities!$C$18:$R$38,16,FALSE)</f>
        <v>LPG</v>
      </c>
    </row>
    <row r="46" spans="2:20" ht="13">
      <c r="B46" s="491"/>
      <c r="C46" s="491"/>
      <c r="D46" s="486" t="str">
        <f t="shared" si="1"/>
        <v>CWTNGAE1</v>
      </c>
      <c r="E46" s="486" t="str">
        <f t="shared" si="0"/>
        <v>Residential Water Hot Technology   - Natural Gas - Existing 1</v>
      </c>
      <c r="F46" s="486" t="s">
        <v>44</v>
      </c>
      <c r="G46" s="486" t="s">
        <v>65</v>
      </c>
      <c r="H46" s="489" t="s">
        <v>98</v>
      </c>
      <c r="I46" s="494"/>
      <c r="J46" s="491"/>
      <c r="K46" s="491"/>
      <c r="L46" s="486" t="s">
        <v>789</v>
      </c>
      <c r="M46" s="551" t="s">
        <v>746</v>
      </c>
      <c r="N46" s="187"/>
      <c r="O46" s="551"/>
      <c r="P46" s="187" t="str">
        <f t="shared" si="2"/>
        <v>NGA</v>
      </c>
      <c r="Q46" s="475" t="s">
        <v>806</v>
      </c>
      <c r="R46" s="187">
        <v>1</v>
      </c>
      <c r="S46" s="423" t="str">
        <f>Commodities!$C$18</f>
        <v>COMNGA</v>
      </c>
      <c r="T46" t="str">
        <f>VLOOKUP(S46,Commodities!$C$18:$R$38,16,FALSE)</f>
        <v>Natural Gas</v>
      </c>
    </row>
    <row r="47" spans="2:20" s="608" customFormat="1" ht="13">
      <c r="B47" s="625"/>
      <c r="C47" s="625"/>
      <c r="D47" s="624" t="str">
        <f t="shared" ref="D47" si="7">LEFT($D$2,1)&amp;LEFT(L47,1)&amp;LEFT(M47,1)&amp;LEFT(O47,1)&amp;LEFT(N47,1)&amp;P47&amp;LEFT(Q47,1)&amp;R47</f>
        <v>CWTDSLE1</v>
      </c>
      <c r="E47" s="624" t="str">
        <f t="shared" ref="E47" si="8">$E$2&amp;" "&amp;L47&amp;" "&amp;M47&amp;" "&amp;O47&amp;" "&amp;N47&amp;" - "&amp;T47&amp;" - "&amp;Q47&amp;" "&amp;R47</f>
        <v>Residential Water Hot Technology   - Diesel - Existing 1</v>
      </c>
      <c r="F47" s="624" t="s">
        <v>44</v>
      </c>
      <c r="G47" s="624" t="s">
        <v>65</v>
      </c>
      <c r="H47" s="626" t="s">
        <v>98</v>
      </c>
      <c r="I47" s="627"/>
      <c r="J47" s="625"/>
      <c r="K47" s="625"/>
      <c r="L47" s="624" t="s">
        <v>789</v>
      </c>
      <c r="M47" s="628" t="s">
        <v>746</v>
      </c>
      <c r="N47" s="629"/>
      <c r="O47" s="628"/>
      <c r="P47" s="629" t="str">
        <f t="shared" ref="P47" si="9">RIGHT(S47,LEN(S47)-3)</f>
        <v>DSL</v>
      </c>
      <c r="Q47" s="628" t="s">
        <v>806</v>
      </c>
      <c r="R47" s="629">
        <v>1</v>
      </c>
      <c r="S47" s="630" t="str">
        <f>Commodities!$C$21</f>
        <v>COMDSL</v>
      </c>
      <c r="T47" s="608" t="str">
        <f>VLOOKUP(S47,Commodities!$C$18:$R$38,16,FALSE)</f>
        <v>Diesel</v>
      </c>
    </row>
    <row r="48" spans="2:20" s="608" customFormat="1" ht="13">
      <c r="B48" s="625"/>
      <c r="C48" s="625"/>
      <c r="D48" s="624" t="str">
        <f t="shared" ref="D48" si="10">LEFT($D$2,1)&amp;LEFT(L48,1)&amp;LEFT(M48,1)&amp;LEFT(O48,1)&amp;LEFT(N48,1)&amp;P48&amp;LEFT(Q48,1)&amp;R48</f>
        <v>CWTSOLE1</v>
      </c>
      <c r="E48" s="624" t="str">
        <f t="shared" ref="E48" si="11">$E$2&amp;" "&amp;L48&amp;" "&amp;M48&amp;" "&amp;O48&amp;" "&amp;N48&amp;" - "&amp;T48&amp;" - "&amp;Q48&amp;" "&amp;R48</f>
        <v>Residential Water Hot Technology   - Solar - Existing 1</v>
      </c>
      <c r="F48" s="624" t="s">
        <v>44</v>
      </c>
      <c r="G48" s="624" t="s">
        <v>65</v>
      </c>
      <c r="H48" s="626" t="s">
        <v>98</v>
      </c>
      <c r="I48" s="627"/>
      <c r="J48" s="625"/>
      <c r="K48" s="625"/>
      <c r="L48" s="624" t="s">
        <v>789</v>
      </c>
      <c r="M48" s="628" t="s">
        <v>746</v>
      </c>
      <c r="N48" s="629"/>
      <c r="O48" s="628"/>
      <c r="P48" s="629" t="str">
        <f t="shared" ref="P48" si="12">RIGHT(S48,LEN(S48)-3)</f>
        <v>SOL</v>
      </c>
      <c r="Q48" s="628" t="s">
        <v>806</v>
      </c>
      <c r="R48" s="629">
        <v>1</v>
      </c>
      <c r="S48" s="630" t="str">
        <f>Commodities!$C$27</f>
        <v>COMSOL</v>
      </c>
      <c r="T48" s="608" t="str">
        <f>VLOOKUP(S48,Commodities!$C$18:$R$38,16,FALSE)</f>
        <v>Solar</v>
      </c>
    </row>
    <row r="49" spans="2:20" s="608" customFormat="1" ht="13">
      <c r="B49" s="625"/>
      <c r="C49" s="625"/>
      <c r="D49" s="624" t="str">
        <f t="shared" ref="D49" si="13">LEFT($D$2,1)&amp;LEFT(L49,1)&amp;LEFT(M49,1)&amp;LEFT(O49,1)&amp;LEFT(N49,1)&amp;P49&amp;LEFT(Q49,1)&amp;R49</f>
        <v>CWTELCHE1</v>
      </c>
      <c r="E49" s="624" t="str">
        <f t="shared" ref="E49" si="14">$E$2&amp;" "&amp;L49&amp;" "&amp;M49&amp;" "&amp;O49&amp;" "&amp;N49&amp;" - "&amp;T49&amp;" - "&amp;Q49&amp;" "&amp;R49</f>
        <v>Residential Water Hot Technology   - Electricity Heating - Existing 1</v>
      </c>
      <c r="F49" s="624" t="s">
        <v>44</v>
      </c>
      <c r="G49" s="624" t="s">
        <v>65</v>
      </c>
      <c r="H49" s="626" t="s">
        <v>98</v>
      </c>
      <c r="I49" s="627"/>
      <c r="J49" s="625"/>
      <c r="K49" s="625"/>
      <c r="L49" s="624" t="s">
        <v>789</v>
      </c>
      <c r="M49" s="628" t="s">
        <v>746</v>
      </c>
      <c r="N49" s="629"/>
      <c r="O49" s="628"/>
      <c r="P49" s="629" t="str">
        <f t="shared" ref="P49" si="15">RIGHT(S49,LEN(S49)-3)</f>
        <v>ELCH</v>
      </c>
      <c r="Q49" s="628" t="s">
        <v>806</v>
      </c>
      <c r="R49" s="629">
        <v>1</v>
      </c>
      <c r="S49" s="630" t="str">
        <f>Commodities!$C$29</f>
        <v>COMELCH</v>
      </c>
      <c r="T49" s="608" t="str">
        <f>VLOOKUP(S49,Commodities!$C$18:$R$38,16,FALSE)</f>
        <v>Electricity Heating</v>
      </c>
    </row>
    <row r="50" spans="2:20" s="608" customFormat="1" ht="13">
      <c r="B50" s="625"/>
      <c r="C50" s="625"/>
      <c r="D50" s="624" t="str">
        <f t="shared" ref="D50" si="16">LEFT($D$2,1)&amp;LEFT(L50,1)&amp;LEFT(M50,1)&amp;LEFT(O50,1)&amp;LEFT(N50,1)&amp;P50&amp;LEFT(Q50,1)&amp;R50</f>
        <v>CWTFIWE1</v>
      </c>
      <c r="E50" s="624" t="str">
        <f t="shared" ref="E50" si="17">$E$2&amp;" "&amp;L50&amp;" "&amp;M50&amp;" "&amp;O50&amp;" "&amp;N50&amp;" - "&amp;T50&amp;" - "&amp;Q50&amp;" "&amp;R50</f>
        <v>Residential Water Hot Technology   - Fire wood - Existing 1</v>
      </c>
      <c r="F50" s="624" t="s">
        <v>44</v>
      </c>
      <c r="G50" s="624" t="s">
        <v>65</v>
      </c>
      <c r="H50" s="626" t="s">
        <v>98</v>
      </c>
      <c r="I50" s="627"/>
      <c r="J50" s="625"/>
      <c r="K50" s="625"/>
      <c r="L50" s="624" t="s">
        <v>789</v>
      </c>
      <c r="M50" s="628" t="s">
        <v>746</v>
      </c>
      <c r="N50" s="629"/>
      <c r="O50" s="628"/>
      <c r="P50" s="629" t="str">
        <f t="shared" ref="P50" si="18">RIGHT(S50,LEN(S50)-3)</f>
        <v>FIW</v>
      </c>
      <c r="Q50" s="628" t="s">
        <v>806</v>
      </c>
      <c r="R50" s="629">
        <v>1</v>
      </c>
      <c r="S50" s="630" t="str">
        <f>Commodities!$C$24</f>
        <v>COMFIW</v>
      </c>
      <c r="T50" s="608" t="str">
        <f>VLOOKUP(S50,Commodities!$C$18:$R$38,16,FALSE)</f>
        <v>Fire wood</v>
      </c>
    </row>
    <row r="51" spans="2:20" s="608" customFormat="1" ht="13">
      <c r="B51" s="625"/>
      <c r="C51" s="625"/>
      <c r="D51" s="624" t="str">
        <f t="shared" ref="D51" si="19">LEFT($D$2,1)&amp;LEFT(L51,1)&amp;LEFT(M51,1)&amp;LEFT(O51,1)&amp;LEFT(N51,1)&amp;P51&amp;LEFT(Q51,1)&amp;R51</f>
        <v>CWTELCWE1</v>
      </c>
      <c r="E51" s="624" t="str">
        <f t="shared" ref="E51" si="20">$E$2&amp;" "&amp;L51&amp;" "&amp;M51&amp;" "&amp;O51&amp;" "&amp;N51&amp;" - "&amp;T51&amp;" - "&amp;Q51&amp;" "&amp;R51</f>
        <v>Residential Water Hot Technology   - Electricity Water Heating - Existing 1</v>
      </c>
      <c r="F51" s="624" t="s">
        <v>44</v>
      </c>
      <c r="G51" s="624" t="s">
        <v>65</v>
      </c>
      <c r="H51" s="626" t="s">
        <v>98</v>
      </c>
      <c r="I51" s="627"/>
      <c r="J51" s="625"/>
      <c r="K51" s="625"/>
      <c r="L51" s="624" t="s">
        <v>789</v>
      </c>
      <c r="M51" s="628" t="s">
        <v>746</v>
      </c>
      <c r="N51" s="629"/>
      <c r="O51" s="628"/>
      <c r="P51" s="629" t="str">
        <f t="shared" ref="P51" si="21">RIGHT(S51,LEN(S51)-3)</f>
        <v>ELCW</v>
      </c>
      <c r="Q51" s="628" t="s">
        <v>806</v>
      </c>
      <c r="R51" s="629">
        <v>1</v>
      </c>
      <c r="S51" s="630" t="str">
        <f>Commodities!$C$33</f>
        <v>COMELCW</v>
      </c>
      <c r="T51" s="608" t="str">
        <f>VLOOKUP(S51,Commodities!$C$18:$R$38,16,FALSE)</f>
        <v>Electricity Water Heating</v>
      </c>
    </row>
    <row r="52" spans="2:20" s="608" customFormat="1" ht="13">
      <c r="B52" s="625"/>
      <c r="C52" s="625"/>
      <c r="D52" s="624" t="str">
        <f t="shared" ref="D52" si="22">LEFT($D$2,1)&amp;LEFT(L52,1)&amp;LEFT(M52,1)&amp;LEFT(O52,1)&amp;LEFT(N52,1)&amp;P52&amp;LEFT(Q52,1)&amp;R52</f>
        <v>CWTHCEE1</v>
      </c>
      <c r="E52" s="624" t="str">
        <f t="shared" ref="E52" si="23">$E$2&amp;" "&amp;L52&amp;" "&amp;M52&amp;" "&amp;O52&amp;" "&amp;N52&amp;" - "&amp;T52&amp;" - "&amp;Q52&amp;" "&amp;R52</f>
        <v>Residential Water Hot Technology   - District heating Central - Existing 1</v>
      </c>
      <c r="F52" s="624" t="s">
        <v>44</v>
      </c>
      <c r="G52" s="624" t="s">
        <v>65</v>
      </c>
      <c r="H52" s="626" t="s">
        <v>98</v>
      </c>
      <c r="I52" s="627"/>
      <c r="J52" s="625"/>
      <c r="K52" s="625"/>
      <c r="L52" s="624" t="s">
        <v>789</v>
      </c>
      <c r="M52" s="628" t="s">
        <v>746</v>
      </c>
      <c r="N52" s="629"/>
      <c r="O52" s="628"/>
      <c r="P52" s="629" t="str">
        <f t="shared" ref="P52" si="24">RIGHT(S52,LEN(S52)-3)</f>
        <v>HCE</v>
      </c>
      <c r="Q52" s="628" t="s">
        <v>806</v>
      </c>
      <c r="R52" s="629">
        <v>1</v>
      </c>
      <c r="S52" s="630" t="str">
        <f>Commodities!$C$34</f>
        <v>COMHCE</v>
      </c>
      <c r="T52" s="608" t="str">
        <f>VLOOKUP(S52,Commodities!$C$18:$R$38,16,FALSE)</f>
        <v>District heating Central</v>
      </c>
    </row>
    <row r="53" spans="2:20" ht="13">
      <c r="B53" s="85" t="s">
        <v>64</v>
      </c>
      <c r="C53" s="69"/>
      <c r="D53" s="133" t="str">
        <f t="shared" si="1"/>
        <v>CHTUDNGAE1</v>
      </c>
      <c r="E53" s="86" t="str">
        <f t="shared" si="0"/>
        <v>Residential Heating Technology Urban Detached - Natural Gas - Existing 1</v>
      </c>
      <c r="F53" s="68" t="s">
        <v>44</v>
      </c>
      <c r="G53" s="68" t="s">
        <v>65</v>
      </c>
      <c r="H53" s="79" t="s">
        <v>98</v>
      </c>
      <c r="I53" s="64"/>
      <c r="J53" s="64"/>
      <c r="K53" s="64"/>
      <c r="L53" s="133" t="s">
        <v>739</v>
      </c>
      <c r="M53" s="127" t="s">
        <v>746</v>
      </c>
      <c r="N53" s="127" t="s">
        <v>102</v>
      </c>
      <c r="O53" s="127" t="s">
        <v>714</v>
      </c>
      <c r="P53" t="str">
        <f>RIGHT(S53,LEN(S53)-3)</f>
        <v>NGA</v>
      </c>
      <c r="Q53" s="106" t="s">
        <v>806</v>
      </c>
      <c r="R53">
        <v>1</v>
      </c>
      <c r="S53" s="230" t="str">
        <f>Commodities!$C$18</f>
        <v>COMNGA</v>
      </c>
      <c r="T53" t="str">
        <f>VLOOKUP(S53,Commodities!$C$18:$R$38,16,FALSE)</f>
        <v>Natural Gas</v>
      </c>
    </row>
    <row r="54" spans="2:20" ht="13">
      <c r="B54" s="69"/>
      <c r="C54" s="69"/>
      <c r="D54" s="68" t="str">
        <f t="shared" si="1"/>
        <v>CHTUDDSLE1</v>
      </c>
      <c r="E54" s="86" t="str">
        <f t="shared" si="0"/>
        <v>Residential Heating Technology Urban Detached - Diesel - Existing 1</v>
      </c>
      <c r="F54" s="68" t="s">
        <v>44</v>
      </c>
      <c r="G54" s="68" t="s">
        <v>65</v>
      </c>
      <c r="H54" s="79" t="s">
        <v>98</v>
      </c>
      <c r="I54" s="64"/>
      <c r="J54" s="64"/>
      <c r="K54" s="64"/>
      <c r="L54" s="133" t="s">
        <v>739</v>
      </c>
      <c r="M54" s="127" t="s">
        <v>746</v>
      </c>
      <c r="N54" s="127" t="s">
        <v>102</v>
      </c>
      <c r="O54" s="127" t="s">
        <v>714</v>
      </c>
      <c r="P54" t="str">
        <f t="shared" ref="P54:P74" si="25">RIGHT(S54,LEN(S54)-3)</f>
        <v>DSL</v>
      </c>
      <c r="Q54" s="106" t="s">
        <v>806</v>
      </c>
      <c r="R54">
        <v>1</v>
      </c>
      <c r="S54" s="230" t="str">
        <f>Commodities!$C$21</f>
        <v>COMDSL</v>
      </c>
      <c r="T54" t="str">
        <f>VLOOKUP(S54,Commodities!$C$18:$R$38,16,FALSE)</f>
        <v>Diesel</v>
      </c>
    </row>
    <row r="55" spans="2:20" ht="13">
      <c r="B55" s="69"/>
      <c r="C55" s="69"/>
      <c r="D55" s="68" t="str">
        <f t="shared" si="1"/>
        <v>CHTUDWPEE1</v>
      </c>
      <c r="E55" s="148" t="str">
        <f t="shared" si="0"/>
        <v>Residential Heating Technology Urban Detached - Wood pellets - Existing 1</v>
      </c>
      <c r="F55" s="68" t="s">
        <v>44</v>
      </c>
      <c r="G55" s="68" t="s">
        <v>65</v>
      </c>
      <c r="H55" s="79" t="s">
        <v>98</v>
      </c>
      <c r="I55" s="64"/>
      <c r="J55" s="64"/>
      <c r="K55" s="64"/>
      <c r="L55" s="133" t="s">
        <v>739</v>
      </c>
      <c r="M55" s="127" t="s">
        <v>746</v>
      </c>
      <c r="N55" s="127" t="s">
        <v>102</v>
      </c>
      <c r="O55" s="127" t="s">
        <v>714</v>
      </c>
      <c r="P55" t="str">
        <f t="shared" si="25"/>
        <v>WPE</v>
      </c>
      <c r="Q55" s="106" t="s">
        <v>806</v>
      </c>
      <c r="R55">
        <v>1</v>
      </c>
      <c r="S55" s="230" t="str">
        <f>Commodities!$C$23</f>
        <v>COMWPE</v>
      </c>
      <c r="T55" t="str">
        <f>VLOOKUP(S55,Commodities!$C$18:$R$38,16,FALSE)</f>
        <v>Wood pellets</v>
      </c>
    </row>
    <row r="56" spans="2:20" ht="13">
      <c r="B56" s="69"/>
      <c r="C56" s="69"/>
      <c r="D56" s="68" t="str">
        <f t="shared" si="1"/>
        <v>CHTUDFIWE1</v>
      </c>
      <c r="E56" s="148" t="str">
        <f t="shared" si="0"/>
        <v>Residential Heating Technology Urban Detached - Fire wood - Existing 1</v>
      </c>
      <c r="F56" s="68" t="s">
        <v>44</v>
      </c>
      <c r="G56" s="68" t="s">
        <v>65</v>
      </c>
      <c r="H56" s="79" t="s">
        <v>98</v>
      </c>
      <c r="I56" s="64"/>
      <c r="J56" s="64"/>
      <c r="K56" s="64"/>
      <c r="L56" s="133" t="s">
        <v>739</v>
      </c>
      <c r="M56" s="127" t="s">
        <v>746</v>
      </c>
      <c r="N56" s="127" t="s">
        <v>102</v>
      </c>
      <c r="O56" s="127" t="s">
        <v>714</v>
      </c>
      <c r="P56" t="str">
        <f t="shared" si="25"/>
        <v>FIW</v>
      </c>
      <c r="Q56" s="106" t="s">
        <v>806</v>
      </c>
      <c r="R56">
        <v>1</v>
      </c>
      <c r="S56" s="230" t="str">
        <f>Commodities!$C$24</f>
        <v>COMFIW</v>
      </c>
      <c r="T56" t="str">
        <f>VLOOKUP(S56,Commodities!$C$18:$R$38,16,FALSE)</f>
        <v>Fire wood</v>
      </c>
    </row>
    <row r="57" spans="2:20" s="608" customFormat="1" ht="13">
      <c r="B57" s="604"/>
      <c r="C57" s="604"/>
      <c r="D57" s="606" t="str">
        <f t="shared" si="1"/>
        <v>CHTUDCOAE1</v>
      </c>
      <c r="E57" s="621" t="str">
        <f t="shared" si="0"/>
        <v>Residential Heating Technology Urban Detached - Coal - Existing 1</v>
      </c>
      <c r="F57" s="606" t="s">
        <v>44</v>
      </c>
      <c r="G57" s="606" t="s">
        <v>65</v>
      </c>
      <c r="H57" s="607" t="s">
        <v>98</v>
      </c>
      <c r="I57" s="604"/>
      <c r="J57" s="604"/>
      <c r="K57" s="604"/>
      <c r="L57" s="616" t="s">
        <v>739</v>
      </c>
      <c r="M57" s="618" t="s">
        <v>746</v>
      </c>
      <c r="N57" s="618" t="s">
        <v>102</v>
      </c>
      <c r="O57" s="618" t="s">
        <v>714</v>
      </c>
      <c r="P57" s="608" t="str">
        <f t="shared" si="25"/>
        <v>COA</v>
      </c>
      <c r="Q57" s="619" t="s">
        <v>806</v>
      </c>
      <c r="R57" s="608">
        <v>1</v>
      </c>
      <c r="S57" s="622" t="str">
        <f>Commodities!$C$25</f>
        <v>COMCOA</v>
      </c>
      <c r="T57" s="608" t="str">
        <f>VLOOKUP(S57,Commodities!$C$18:$R$38,16,FALSE)</f>
        <v>Coal</v>
      </c>
    </row>
    <row r="58" spans="2:20" ht="13">
      <c r="B58" s="69"/>
      <c r="C58" s="69"/>
      <c r="D58" s="68" t="str">
        <f t="shared" si="1"/>
        <v>CHTUDSOLE1</v>
      </c>
      <c r="E58" s="87" t="str">
        <f t="shared" si="0"/>
        <v>Residential Heating Technology Urban Detached - Solar - Existing 1</v>
      </c>
      <c r="F58" s="68" t="s">
        <v>44</v>
      </c>
      <c r="G58" s="68" t="s">
        <v>65</v>
      </c>
      <c r="H58" s="79" t="s">
        <v>98</v>
      </c>
      <c r="I58" s="64"/>
      <c r="J58" s="64"/>
      <c r="K58" s="64"/>
      <c r="L58" s="133" t="s">
        <v>739</v>
      </c>
      <c r="M58" s="127" t="s">
        <v>746</v>
      </c>
      <c r="N58" s="127" t="s">
        <v>102</v>
      </c>
      <c r="O58" s="127" t="s">
        <v>714</v>
      </c>
      <c r="P58" t="str">
        <f t="shared" si="25"/>
        <v>SOL</v>
      </c>
      <c r="Q58" s="106" t="s">
        <v>806</v>
      </c>
      <c r="R58">
        <v>1</v>
      </c>
      <c r="S58" s="230" t="str">
        <f>Commodities!$C$27</f>
        <v>COMSOL</v>
      </c>
      <c r="T58" t="str">
        <f>VLOOKUP(S58,Commodities!$C$18:$R$38,16,FALSE)</f>
        <v>Solar</v>
      </c>
    </row>
    <row r="59" spans="2:20" ht="13">
      <c r="B59" s="69"/>
      <c r="C59" s="69"/>
      <c r="D59" s="68" t="str">
        <f t="shared" ref="D59" si="26">LEFT($D$2,1)&amp;LEFT(L59,1)&amp;LEFT(M59,1)&amp;LEFT(O59,1)&amp;LEFT(N59,1)&amp;P59&amp;LEFT(Q59,1)&amp;R59</f>
        <v>CHTUDGEOE1</v>
      </c>
      <c r="E59" s="87" t="str">
        <f t="shared" ref="E59" si="27">$E$2&amp;" "&amp;L59&amp;" "&amp;M59&amp;" "&amp;O59&amp;" "&amp;N59&amp;" - "&amp;T59&amp;" - "&amp;Q59&amp;" "&amp;R59</f>
        <v>Residential Heating Technology Urban Detached - Geothermal - Existing 1</v>
      </c>
      <c r="F59" s="68" t="s">
        <v>44</v>
      </c>
      <c r="G59" s="68" t="s">
        <v>65</v>
      </c>
      <c r="H59" s="79" t="s">
        <v>98</v>
      </c>
      <c r="I59" s="64"/>
      <c r="J59" s="64"/>
      <c r="K59" s="64"/>
      <c r="L59" s="133" t="s">
        <v>739</v>
      </c>
      <c r="M59" s="127" t="s">
        <v>746</v>
      </c>
      <c r="N59" s="127" t="s">
        <v>102</v>
      </c>
      <c r="O59" s="127" t="s">
        <v>714</v>
      </c>
      <c r="P59" t="str">
        <f t="shared" ref="P59" si="28">RIGHT(S59,LEN(S59)-3)</f>
        <v>GEO</v>
      </c>
      <c r="Q59" s="106" t="s">
        <v>806</v>
      </c>
      <c r="R59">
        <v>1</v>
      </c>
      <c r="S59" s="230" t="str">
        <f>Commodities!$C$28</f>
        <v>COMGEO</v>
      </c>
      <c r="T59" t="str">
        <f>VLOOKUP(S59,Commodities!$C$18:$R$38,16,FALSE)</f>
        <v>Geothermal</v>
      </c>
    </row>
    <row r="60" spans="2:20" ht="13">
      <c r="B60" s="69"/>
      <c r="C60" s="69"/>
      <c r="D60" s="68" t="str">
        <f t="shared" si="1"/>
        <v>CHTUDELCHE1</v>
      </c>
      <c r="E60" s="87" t="str">
        <f t="shared" si="0"/>
        <v>Residential Heating Technology Urban Detached - Electricity Heating - Existing 1</v>
      </c>
      <c r="F60" s="68" t="s">
        <v>44</v>
      </c>
      <c r="G60" s="68" t="s">
        <v>65</v>
      </c>
      <c r="H60" s="79" t="s">
        <v>98</v>
      </c>
      <c r="I60" s="64"/>
      <c r="J60" s="64"/>
      <c r="K60" s="64"/>
      <c r="L60" s="133" t="s">
        <v>739</v>
      </c>
      <c r="M60" s="127" t="s">
        <v>746</v>
      </c>
      <c r="N60" s="127" t="s">
        <v>102</v>
      </c>
      <c r="O60" s="127" t="s">
        <v>714</v>
      </c>
      <c r="P60" t="str">
        <f t="shared" si="25"/>
        <v>ELCH</v>
      </c>
      <c r="Q60" s="106" t="s">
        <v>806</v>
      </c>
      <c r="R60">
        <v>1</v>
      </c>
      <c r="S60" s="230" t="str">
        <f>Commodities!$C$29</f>
        <v>COMELCH</v>
      </c>
      <c r="T60" t="str">
        <f>VLOOKUP(S60,Commodities!$C$18:$R$38,16,FALSE)</f>
        <v>Electricity Heating</v>
      </c>
    </row>
    <row r="61" spans="2:20" ht="13">
      <c r="B61" s="69"/>
      <c r="C61" s="69"/>
      <c r="D61" s="68" t="str">
        <f t="shared" si="1"/>
        <v>CHTUDELCHE2</v>
      </c>
      <c r="E61" s="87" t="str">
        <f t="shared" si="0"/>
        <v>Residential Heating Technology Urban Detached - Electricity Heating - Existing 2</v>
      </c>
      <c r="F61" s="68" t="s">
        <v>44</v>
      </c>
      <c r="G61" s="68" t="s">
        <v>65</v>
      </c>
      <c r="H61" s="79" t="s">
        <v>98</v>
      </c>
      <c r="I61" s="64"/>
      <c r="J61" s="64"/>
      <c r="K61" s="64"/>
      <c r="L61" s="133" t="s">
        <v>739</v>
      </c>
      <c r="M61" s="127" t="s">
        <v>746</v>
      </c>
      <c r="N61" s="127" t="s">
        <v>102</v>
      </c>
      <c r="O61" s="127" t="s">
        <v>714</v>
      </c>
      <c r="P61" t="str">
        <f t="shared" si="25"/>
        <v>ELCH</v>
      </c>
      <c r="Q61" s="106" t="s">
        <v>806</v>
      </c>
      <c r="R61">
        <v>2</v>
      </c>
      <c r="S61" s="230" t="s">
        <v>881</v>
      </c>
      <c r="T61" t="str">
        <f>VLOOKUP(S61,Commodities!$C$18:$R$38,16,FALSE)</f>
        <v>Electricity Heating</v>
      </c>
    </row>
    <row r="62" spans="2:20" ht="13">
      <c r="B62" s="78"/>
      <c r="C62" s="78"/>
      <c r="D62" s="68" t="str">
        <f t="shared" si="1"/>
        <v>CHTUDHCEE1</v>
      </c>
      <c r="E62" s="86" t="str">
        <f t="shared" si="0"/>
        <v>Residential Heating Technology Urban Detached - District heating Central - Existing 1</v>
      </c>
      <c r="F62" s="68" t="s">
        <v>44</v>
      </c>
      <c r="G62" s="68" t="s">
        <v>65</v>
      </c>
      <c r="H62" s="79" t="s">
        <v>98</v>
      </c>
      <c r="I62" s="82"/>
      <c r="J62" s="77"/>
      <c r="K62" s="77"/>
      <c r="L62" s="133" t="s">
        <v>739</v>
      </c>
      <c r="M62" s="127" t="s">
        <v>746</v>
      </c>
      <c r="N62" s="127" t="s">
        <v>102</v>
      </c>
      <c r="O62" s="127" t="s">
        <v>714</v>
      </c>
      <c r="P62" t="str">
        <f t="shared" si="25"/>
        <v>HCE</v>
      </c>
      <c r="Q62" s="106" t="s">
        <v>806</v>
      </c>
      <c r="R62">
        <v>1</v>
      </c>
      <c r="S62" s="230" t="str">
        <f>Commodities!$C$34</f>
        <v>COMHCE</v>
      </c>
      <c r="T62" t="str">
        <f>VLOOKUP(S62,Commodities!$C$18:$R$38,16,FALSE)</f>
        <v>District heating Central</v>
      </c>
    </row>
    <row r="63" spans="2:20" ht="13">
      <c r="B63" s="72"/>
      <c r="C63" s="72"/>
      <c r="D63" s="71" t="str">
        <f t="shared" si="1"/>
        <v>CHTUDLPGE1</v>
      </c>
      <c r="E63" s="88" t="str">
        <f t="shared" si="0"/>
        <v>Residential Heating Technology Urban Detached - LPG - Existing 1</v>
      </c>
      <c r="F63" s="71" t="s">
        <v>44</v>
      </c>
      <c r="G63" s="71" t="s">
        <v>65</v>
      </c>
      <c r="H63" s="75" t="s">
        <v>98</v>
      </c>
      <c r="I63" s="84"/>
      <c r="J63" s="70"/>
      <c r="K63" s="77"/>
      <c r="L63" s="133" t="s">
        <v>739</v>
      </c>
      <c r="M63" s="127" t="s">
        <v>746</v>
      </c>
      <c r="N63" s="127" t="s">
        <v>102</v>
      </c>
      <c r="O63" s="127" t="s">
        <v>714</v>
      </c>
      <c r="P63" t="str">
        <f t="shared" si="25"/>
        <v>LPG</v>
      </c>
      <c r="Q63" s="106" t="s">
        <v>806</v>
      </c>
      <c r="R63">
        <v>1</v>
      </c>
      <c r="S63" s="256" t="str">
        <f>Commodities!$C$20</f>
        <v>COMLPG</v>
      </c>
      <c r="T63" t="str">
        <f>VLOOKUP(S63,Commodities!$C$18:$R$38,16,FALSE)</f>
        <v>LPG</v>
      </c>
    </row>
    <row r="64" spans="2:20" ht="13">
      <c r="B64" s="69"/>
      <c r="C64" s="69"/>
      <c r="D64" s="68" t="str">
        <f t="shared" si="1"/>
        <v>CHTRDNGAE1</v>
      </c>
      <c r="E64" s="86" t="str">
        <f t="shared" si="0"/>
        <v>Residential Heating Technology Rural Detached - Natural Gas - Existing 1</v>
      </c>
      <c r="F64" s="68" t="s">
        <v>44</v>
      </c>
      <c r="G64" s="68" t="s">
        <v>65</v>
      </c>
      <c r="H64" s="79" t="s">
        <v>98</v>
      </c>
      <c r="I64" s="64"/>
      <c r="J64" s="64"/>
      <c r="K64" s="64"/>
      <c r="L64" s="133" t="s">
        <v>739</v>
      </c>
      <c r="M64" s="127" t="s">
        <v>746</v>
      </c>
      <c r="N64" s="127" t="s">
        <v>102</v>
      </c>
      <c r="O64" s="127" t="s">
        <v>715</v>
      </c>
      <c r="P64" t="str">
        <f t="shared" si="25"/>
        <v>NGA</v>
      </c>
      <c r="Q64" s="106" t="s">
        <v>806</v>
      </c>
      <c r="R64">
        <v>1</v>
      </c>
      <c r="S64" s="230" t="str">
        <f>Commodities!$C$18</f>
        <v>COMNGA</v>
      </c>
      <c r="T64" t="str">
        <f>VLOOKUP(S64,Commodities!$C$18:$R$38,16,FALSE)</f>
        <v>Natural Gas</v>
      </c>
    </row>
    <row r="65" spans="2:20" ht="13">
      <c r="B65" s="69"/>
      <c r="C65" s="69"/>
      <c r="D65" s="68" t="str">
        <f t="shared" si="1"/>
        <v>CHTRDDSLE1</v>
      </c>
      <c r="E65" s="86" t="str">
        <f t="shared" si="0"/>
        <v>Residential Heating Technology Rural Detached - Diesel - Existing 1</v>
      </c>
      <c r="F65" s="68" t="s">
        <v>44</v>
      </c>
      <c r="G65" s="68" t="s">
        <v>65</v>
      </c>
      <c r="H65" s="79" t="s">
        <v>98</v>
      </c>
      <c r="I65" s="64"/>
      <c r="J65" s="64"/>
      <c r="K65" s="64"/>
      <c r="L65" s="133" t="s">
        <v>739</v>
      </c>
      <c r="M65" s="127" t="s">
        <v>746</v>
      </c>
      <c r="N65" s="127" t="s">
        <v>102</v>
      </c>
      <c r="O65" s="127" t="s">
        <v>715</v>
      </c>
      <c r="P65" t="str">
        <f t="shared" si="25"/>
        <v>DSL</v>
      </c>
      <c r="Q65" s="106" t="s">
        <v>806</v>
      </c>
      <c r="R65">
        <v>1</v>
      </c>
      <c r="S65" s="230" t="str">
        <f>Commodities!$C$21</f>
        <v>COMDSL</v>
      </c>
      <c r="T65" t="str">
        <f>VLOOKUP(S65,Commodities!$C$18:$R$38,16,FALSE)</f>
        <v>Diesel</v>
      </c>
    </row>
    <row r="66" spans="2:20" ht="13">
      <c r="B66" s="69"/>
      <c r="C66" s="69"/>
      <c r="D66" s="68" t="str">
        <f t="shared" si="1"/>
        <v>CHTRDWPEE1</v>
      </c>
      <c r="E66" s="148" t="str">
        <f t="shared" si="0"/>
        <v>Residential Heating Technology Rural Detached - Wood pellets - Existing 1</v>
      </c>
      <c r="F66" s="68" t="s">
        <v>44</v>
      </c>
      <c r="G66" s="68" t="s">
        <v>65</v>
      </c>
      <c r="H66" s="79" t="s">
        <v>98</v>
      </c>
      <c r="I66" s="64"/>
      <c r="J66" s="64"/>
      <c r="K66" s="64"/>
      <c r="L66" s="133" t="s">
        <v>739</v>
      </c>
      <c r="M66" s="127" t="s">
        <v>746</v>
      </c>
      <c r="N66" s="127" t="s">
        <v>102</v>
      </c>
      <c r="O66" s="127" t="s">
        <v>715</v>
      </c>
      <c r="P66" t="str">
        <f t="shared" si="25"/>
        <v>WPE</v>
      </c>
      <c r="Q66" s="106" t="s">
        <v>806</v>
      </c>
      <c r="R66">
        <v>1</v>
      </c>
      <c r="S66" s="230" t="str">
        <f>Commodities!$C$23</f>
        <v>COMWPE</v>
      </c>
      <c r="T66" t="str">
        <f>VLOOKUP(S66,Commodities!$C$18:$R$38,16,FALSE)</f>
        <v>Wood pellets</v>
      </c>
    </row>
    <row r="67" spans="2:20" ht="13">
      <c r="B67" s="69"/>
      <c r="C67" s="69"/>
      <c r="D67" s="68" t="str">
        <f t="shared" si="1"/>
        <v>CHTRDFIWE1</v>
      </c>
      <c r="E67" s="148" t="str">
        <f t="shared" si="0"/>
        <v>Residential Heating Technology Rural Detached - Fire wood - Existing 1</v>
      </c>
      <c r="F67" s="68" t="s">
        <v>44</v>
      </c>
      <c r="G67" s="68" t="s">
        <v>65</v>
      </c>
      <c r="H67" s="79" t="s">
        <v>98</v>
      </c>
      <c r="I67" s="64"/>
      <c r="J67" s="64"/>
      <c r="K67" s="64"/>
      <c r="L67" s="133" t="s">
        <v>739</v>
      </c>
      <c r="M67" s="127" t="s">
        <v>746</v>
      </c>
      <c r="N67" s="127" t="s">
        <v>102</v>
      </c>
      <c r="O67" s="127" t="s">
        <v>715</v>
      </c>
      <c r="P67" t="str">
        <f t="shared" si="25"/>
        <v>FIW</v>
      </c>
      <c r="Q67" s="106" t="s">
        <v>806</v>
      </c>
      <c r="R67">
        <v>1</v>
      </c>
      <c r="S67" s="230" t="str">
        <f>Commodities!$C$24</f>
        <v>COMFIW</v>
      </c>
      <c r="T67" t="str">
        <f>VLOOKUP(S67,Commodities!$C$18:$R$38,16,FALSE)</f>
        <v>Fire wood</v>
      </c>
    </row>
    <row r="68" spans="2:20" ht="13">
      <c r="B68" s="69"/>
      <c r="C68" s="69"/>
      <c r="D68" s="68" t="str">
        <f t="shared" si="1"/>
        <v>CHTRDCOAE1</v>
      </c>
      <c r="E68" s="86" t="str">
        <f t="shared" si="0"/>
        <v>Residential Heating Technology Rural Detached - Coal - Existing 1</v>
      </c>
      <c r="F68" s="68" t="s">
        <v>44</v>
      </c>
      <c r="G68" s="68" t="s">
        <v>65</v>
      </c>
      <c r="H68" s="79" t="s">
        <v>98</v>
      </c>
      <c r="I68" s="64"/>
      <c r="J68" s="64"/>
      <c r="K68" s="64"/>
      <c r="L68" s="133" t="s">
        <v>739</v>
      </c>
      <c r="M68" s="127" t="s">
        <v>746</v>
      </c>
      <c r="N68" s="127" t="s">
        <v>102</v>
      </c>
      <c r="O68" s="127" t="s">
        <v>715</v>
      </c>
      <c r="P68" t="str">
        <f t="shared" si="25"/>
        <v>COA</v>
      </c>
      <c r="Q68" s="106" t="s">
        <v>806</v>
      </c>
      <c r="R68">
        <v>1</v>
      </c>
      <c r="S68" s="230" t="str">
        <f>Commodities!$C$25</f>
        <v>COMCOA</v>
      </c>
      <c r="T68" t="str">
        <f>VLOOKUP(S68,Commodities!$C$18:$R$38,16,FALSE)</f>
        <v>Coal</v>
      </c>
    </row>
    <row r="69" spans="2:20" ht="13">
      <c r="B69" s="69"/>
      <c r="C69" s="69"/>
      <c r="D69" s="68" t="str">
        <f t="shared" si="1"/>
        <v>CHTRDSOLE1</v>
      </c>
      <c r="E69" s="86" t="str">
        <f t="shared" si="0"/>
        <v>Residential Heating Technology Rural Detached - Solar - Existing 1</v>
      </c>
      <c r="F69" s="68" t="s">
        <v>44</v>
      </c>
      <c r="G69" s="68" t="s">
        <v>65</v>
      </c>
      <c r="H69" s="79" t="s">
        <v>98</v>
      </c>
      <c r="I69" s="64"/>
      <c r="J69" s="64"/>
      <c r="K69" s="64"/>
      <c r="L69" s="133" t="s">
        <v>739</v>
      </c>
      <c r="M69" s="127" t="s">
        <v>746</v>
      </c>
      <c r="N69" s="127" t="s">
        <v>102</v>
      </c>
      <c r="O69" s="127" t="s">
        <v>715</v>
      </c>
      <c r="P69" t="str">
        <f t="shared" si="25"/>
        <v>SOL</v>
      </c>
      <c r="Q69" s="106" t="s">
        <v>806</v>
      </c>
      <c r="R69">
        <v>1</v>
      </c>
      <c r="S69" s="230" t="str">
        <f>Commodities!$C$27</f>
        <v>COMSOL</v>
      </c>
      <c r="T69" t="str">
        <f>VLOOKUP(S69,Commodities!$C$18:$R$38,16,FALSE)</f>
        <v>Solar</v>
      </c>
    </row>
    <row r="70" spans="2:20" ht="13">
      <c r="B70" s="69"/>
      <c r="C70" s="69"/>
      <c r="D70" s="68" t="str">
        <f t="shared" si="1"/>
        <v>CHTRDGEOE1</v>
      </c>
      <c r="E70" s="87" t="str">
        <f t="shared" si="0"/>
        <v>Residential Heating Technology Rural Detached - Geothermal - Existing 1</v>
      </c>
      <c r="F70" s="68" t="s">
        <v>44</v>
      </c>
      <c r="G70" s="68" t="s">
        <v>65</v>
      </c>
      <c r="H70" s="79" t="s">
        <v>98</v>
      </c>
      <c r="I70" s="64"/>
      <c r="J70" s="64"/>
      <c r="K70" s="64"/>
      <c r="L70" s="133" t="s">
        <v>739</v>
      </c>
      <c r="M70" s="127" t="s">
        <v>746</v>
      </c>
      <c r="N70" s="127" t="s">
        <v>102</v>
      </c>
      <c r="O70" s="127" t="s">
        <v>715</v>
      </c>
      <c r="P70" t="str">
        <f t="shared" si="25"/>
        <v>GEO</v>
      </c>
      <c r="Q70" s="106" t="s">
        <v>806</v>
      </c>
      <c r="R70">
        <v>1</v>
      </c>
      <c r="S70" s="230" t="str">
        <f>Commodities!$C$28</f>
        <v>COMGEO</v>
      </c>
      <c r="T70" t="str">
        <f>VLOOKUP(S70,Commodities!$C$18:$R$38,16,FALSE)</f>
        <v>Geothermal</v>
      </c>
    </row>
    <row r="71" spans="2:20" ht="13">
      <c r="B71" s="69"/>
      <c r="C71" s="69"/>
      <c r="D71" s="68" t="str">
        <f t="shared" si="1"/>
        <v>CHTRDELCHE1</v>
      </c>
      <c r="E71" s="136" t="str">
        <f t="shared" si="0"/>
        <v>Residential Heating Technology Rural Detached - Electricity Heating - Existing 1</v>
      </c>
      <c r="F71" s="68" t="s">
        <v>44</v>
      </c>
      <c r="G71" s="68" t="s">
        <v>65</v>
      </c>
      <c r="H71" s="79" t="s">
        <v>98</v>
      </c>
      <c r="I71" s="64"/>
      <c r="J71" s="64"/>
      <c r="K71" s="64"/>
      <c r="L71" s="133" t="s">
        <v>739</v>
      </c>
      <c r="M71" s="127" t="s">
        <v>746</v>
      </c>
      <c r="N71" s="127" t="s">
        <v>102</v>
      </c>
      <c r="O71" s="127" t="s">
        <v>715</v>
      </c>
      <c r="P71" t="str">
        <f t="shared" si="25"/>
        <v>ELCH</v>
      </c>
      <c r="Q71" s="106" t="s">
        <v>806</v>
      </c>
      <c r="R71">
        <v>1</v>
      </c>
      <c r="S71" s="230" t="str">
        <f>Commodities!$C$29</f>
        <v>COMELCH</v>
      </c>
      <c r="T71" t="str">
        <f>VLOOKUP(S71,Commodities!$C$18:$R$38,16,FALSE)</f>
        <v>Electricity Heating</v>
      </c>
    </row>
    <row r="72" spans="2:20" ht="13">
      <c r="B72" s="69"/>
      <c r="C72" s="69"/>
      <c r="D72" s="68" t="str">
        <f t="shared" si="1"/>
        <v>CHTRDELCHE2</v>
      </c>
      <c r="E72" s="87" t="str">
        <f t="shared" si="0"/>
        <v>Residential Heating Technology Rural Detached - Electricity Heating - Existing 2</v>
      </c>
      <c r="F72" s="68" t="s">
        <v>44</v>
      </c>
      <c r="G72" s="68" t="s">
        <v>65</v>
      </c>
      <c r="H72" s="79" t="s">
        <v>98</v>
      </c>
      <c r="I72" s="64"/>
      <c r="J72" s="64"/>
      <c r="K72" s="64"/>
      <c r="L72" s="133" t="s">
        <v>739</v>
      </c>
      <c r="M72" s="127" t="s">
        <v>746</v>
      </c>
      <c r="N72" s="127" t="s">
        <v>102</v>
      </c>
      <c r="O72" s="127" t="s">
        <v>715</v>
      </c>
      <c r="P72" t="str">
        <f t="shared" si="25"/>
        <v>ELCH</v>
      </c>
      <c r="Q72" s="106" t="s">
        <v>806</v>
      </c>
      <c r="R72">
        <v>2</v>
      </c>
      <c r="S72" s="230" t="s">
        <v>881</v>
      </c>
      <c r="T72" t="str">
        <f>VLOOKUP(S72,Commodities!$C$18:$R$38,16,FALSE)</f>
        <v>Electricity Heating</v>
      </c>
    </row>
    <row r="73" spans="2:20" ht="13">
      <c r="B73" s="69"/>
      <c r="C73" s="69"/>
      <c r="D73" s="68" t="str">
        <f t="shared" si="1"/>
        <v>CHTRDHCEE1</v>
      </c>
      <c r="E73" s="86" t="str">
        <f t="shared" si="0"/>
        <v>Residential Heating Technology Rural Detached - District heating Central - Existing 1</v>
      </c>
      <c r="F73" s="68" t="s">
        <v>44</v>
      </c>
      <c r="G73" s="68" t="s">
        <v>65</v>
      </c>
      <c r="H73" s="79" t="s">
        <v>98</v>
      </c>
      <c r="I73" s="81"/>
      <c r="J73" s="64"/>
      <c r="K73" s="64"/>
      <c r="L73" s="133" t="s">
        <v>739</v>
      </c>
      <c r="M73" s="127" t="s">
        <v>746</v>
      </c>
      <c r="N73" s="127" t="s">
        <v>102</v>
      </c>
      <c r="O73" s="127" t="s">
        <v>715</v>
      </c>
      <c r="P73" t="str">
        <f t="shared" si="25"/>
        <v>HCE</v>
      </c>
      <c r="Q73" s="106" t="s">
        <v>806</v>
      </c>
      <c r="R73">
        <v>1</v>
      </c>
      <c r="S73" s="230" t="str">
        <f>Commodities!$C$34</f>
        <v>COMHCE</v>
      </c>
      <c r="T73" t="str">
        <f>VLOOKUP(S73,Commodities!$C$18:$R$38,16,FALSE)</f>
        <v>District heating Central</v>
      </c>
    </row>
    <row r="74" spans="2:20" ht="13">
      <c r="B74" s="72"/>
      <c r="C74" s="72"/>
      <c r="D74" s="71" t="str">
        <f t="shared" si="1"/>
        <v>CHTRDLPGE1</v>
      </c>
      <c r="E74" s="88" t="str">
        <f t="shared" si="0"/>
        <v>Residential Heating Technology Rural Detached - LPG - Existing 1</v>
      </c>
      <c r="F74" s="71" t="s">
        <v>44</v>
      </c>
      <c r="G74" s="71" t="s">
        <v>65</v>
      </c>
      <c r="H74" s="75" t="s">
        <v>98</v>
      </c>
      <c r="I74" s="84"/>
      <c r="J74" s="70"/>
      <c r="K74" s="77"/>
      <c r="L74" s="133" t="s">
        <v>739</v>
      </c>
      <c r="M74" s="127" t="s">
        <v>746</v>
      </c>
      <c r="N74" s="127" t="s">
        <v>102</v>
      </c>
      <c r="O74" s="127" t="s">
        <v>715</v>
      </c>
      <c r="P74" t="str">
        <f t="shared" si="25"/>
        <v>LPG</v>
      </c>
      <c r="Q74" s="106" t="s">
        <v>806</v>
      </c>
      <c r="R74">
        <v>1</v>
      </c>
      <c r="S74" s="256" t="str">
        <f>Commodities!$C$20</f>
        <v>COMLPG</v>
      </c>
      <c r="T74" t="str">
        <f>VLOOKUP(S74,Commodities!$C$18:$R$38,16,FALSE)</f>
        <v>LPG</v>
      </c>
    </row>
    <row r="75" spans="2:20" ht="13">
      <c r="B75" s="85"/>
      <c r="C75" s="69"/>
      <c r="D75" s="133" t="str">
        <f t="shared" si="1"/>
        <v>CHTUMNGAE1</v>
      </c>
      <c r="E75" s="86" t="str">
        <f t="shared" si="0"/>
        <v>Residential Heating Technology Urban Multi - Natural Gas - Existing 1</v>
      </c>
      <c r="F75" s="68" t="s">
        <v>44</v>
      </c>
      <c r="G75" s="68" t="s">
        <v>65</v>
      </c>
      <c r="H75" s="79" t="s">
        <v>98</v>
      </c>
      <c r="I75" s="64"/>
      <c r="J75" s="64"/>
      <c r="K75" s="64"/>
      <c r="L75" s="133" t="s">
        <v>739</v>
      </c>
      <c r="M75" s="127" t="s">
        <v>746</v>
      </c>
      <c r="N75" s="127" t="s">
        <v>721</v>
      </c>
      <c r="O75" s="127" t="s">
        <v>714</v>
      </c>
      <c r="P75" t="str">
        <f>RIGHT(S75,LEN(S75)-3)</f>
        <v>NGA</v>
      </c>
      <c r="Q75" s="106" t="s">
        <v>806</v>
      </c>
      <c r="R75">
        <v>1</v>
      </c>
      <c r="S75" s="230" t="str">
        <f>Commodities!$C$18</f>
        <v>COMNGA</v>
      </c>
      <c r="T75" t="str">
        <f>VLOOKUP(S75,Commodities!$C$18:$R$38,16,FALSE)</f>
        <v>Natural Gas</v>
      </c>
    </row>
    <row r="76" spans="2:20" ht="13">
      <c r="B76" s="69"/>
      <c r="C76" s="69"/>
      <c r="D76" s="68" t="str">
        <f t="shared" si="1"/>
        <v>CHTUMDSLE1</v>
      </c>
      <c r="E76" s="86" t="str">
        <f t="shared" si="0"/>
        <v>Residential Heating Technology Urban Multi - Diesel - Existing 1</v>
      </c>
      <c r="F76" s="68" t="s">
        <v>44</v>
      </c>
      <c r="G76" s="68" t="s">
        <v>65</v>
      </c>
      <c r="H76" s="79" t="s">
        <v>98</v>
      </c>
      <c r="I76" s="64"/>
      <c r="J76" s="64"/>
      <c r="K76" s="64"/>
      <c r="L76" s="133" t="s">
        <v>739</v>
      </c>
      <c r="M76" s="127" t="s">
        <v>746</v>
      </c>
      <c r="N76" s="127" t="s">
        <v>721</v>
      </c>
      <c r="O76" s="127" t="s">
        <v>714</v>
      </c>
      <c r="P76" t="str">
        <f t="shared" ref="P76:P96" si="29">RIGHT(S76,LEN(S76)-3)</f>
        <v>DSL</v>
      </c>
      <c r="Q76" s="106" t="s">
        <v>806</v>
      </c>
      <c r="R76">
        <v>1</v>
      </c>
      <c r="S76" s="230" t="str">
        <f>Commodities!$C$21</f>
        <v>COMDSL</v>
      </c>
      <c r="T76" t="str">
        <f>VLOOKUP(S76,Commodities!$C$18:$R$38,16,FALSE)</f>
        <v>Diesel</v>
      </c>
    </row>
    <row r="77" spans="2:20" ht="13">
      <c r="B77" s="69"/>
      <c r="C77" s="69"/>
      <c r="D77" s="68" t="str">
        <f t="shared" si="1"/>
        <v>CHTUMWPEE1</v>
      </c>
      <c r="E77" s="148" t="str">
        <f t="shared" si="0"/>
        <v>Residential Heating Technology Urban Multi - Wood pellets - Existing 1</v>
      </c>
      <c r="F77" s="68" t="s">
        <v>44</v>
      </c>
      <c r="G77" s="68" t="s">
        <v>65</v>
      </c>
      <c r="H77" s="79" t="s">
        <v>98</v>
      </c>
      <c r="I77" s="64"/>
      <c r="J77" s="64"/>
      <c r="K77" s="64"/>
      <c r="L77" s="133" t="s">
        <v>739</v>
      </c>
      <c r="M77" s="127" t="s">
        <v>746</v>
      </c>
      <c r="N77" s="127" t="s">
        <v>721</v>
      </c>
      <c r="O77" s="127" t="s">
        <v>714</v>
      </c>
      <c r="P77" t="str">
        <f t="shared" si="29"/>
        <v>WPE</v>
      </c>
      <c r="Q77" s="106" t="s">
        <v>806</v>
      </c>
      <c r="R77">
        <v>1</v>
      </c>
      <c r="S77" s="230" t="str">
        <f>Commodities!$C$23</f>
        <v>COMWPE</v>
      </c>
      <c r="T77" t="str">
        <f>VLOOKUP(S77,Commodities!$C$18:$R$38,16,FALSE)</f>
        <v>Wood pellets</v>
      </c>
    </row>
    <row r="78" spans="2:20" ht="13">
      <c r="B78" s="69"/>
      <c r="C78" s="69"/>
      <c r="D78" s="68" t="str">
        <f t="shared" si="1"/>
        <v>CHTUMFIWE1</v>
      </c>
      <c r="E78" s="148" t="str">
        <f t="shared" si="0"/>
        <v>Residential Heating Technology Urban Multi - Fire wood - Existing 1</v>
      </c>
      <c r="F78" s="68" t="s">
        <v>44</v>
      </c>
      <c r="G78" s="68" t="s">
        <v>65</v>
      </c>
      <c r="H78" s="79" t="s">
        <v>98</v>
      </c>
      <c r="I78" s="64"/>
      <c r="J78" s="64"/>
      <c r="K78" s="64"/>
      <c r="L78" s="133" t="s">
        <v>739</v>
      </c>
      <c r="M78" s="127" t="s">
        <v>746</v>
      </c>
      <c r="N78" s="127" t="s">
        <v>721</v>
      </c>
      <c r="O78" s="127" t="s">
        <v>714</v>
      </c>
      <c r="P78" t="str">
        <f t="shared" si="29"/>
        <v>FIW</v>
      </c>
      <c r="Q78" s="106" t="s">
        <v>806</v>
      </c>
      <c r="R78">
        <v>1</v>
      </c>
      <c r="S78" s="230" t="str">
        <f>Commodities!$C$24</f>
        <v>COMFIW</v>
      </c>
      <c r="T78" t="str">
        <f>VLOOKUP(S78,Commodities!$C$18:$R$38,16,FALSE)</f>
        <v>Fire wood</v>
      </c>
    </row>
    <row r="79" spans="2:20" ht="13">
      <c r="B79" s="69"/>
      <c r="C79" s="69"/>
      <c r="D79" s="68" t="str">
        <f t="shared" si="1"/>
        <v>CHTUMCOAE1</v>
      </c>
      <c r="E79" s="86" t="str">
        <f t="shared" si="0"/>
        <v>Residential Heating Technology Urban Multi - Coal - Existing 1</v>
      </c>
      <c r="F79" s="68" t="s">
        <v>44</v>
      </c>
      <c r="G79" s="68" t="s">
        <v>65</v>
      </c>
      <c r="H79" s="79" t="s">
        <v>98</v>
      </c>
      <c r="I79" s="64"/>
      <c r="J79" s="64"/>
      <c r="K79" s="64"/>
      <c r="L79" s="133" t="s">
        <v>739</v>
      </c>
      <c r="M79" s="127" t="s">
        <v>746</v>
      </c>
      <c r="N79" s="127" t="s">
        <v>721</v>
      </c>
      <c r="O79" s="127" t="s">
        <v>714</v>
      </c>
      <c r="P79" t="str">
        <f t="shared" si="29"/>
        <v>COA</v>
      </c>
      <c r="Q79" s="106" t="s">
        <v>806</v>
      </c>
      <c r="R79">
        <v>1</v>
      </c>
      <c r="S79" s="230" t="str">
        <f>Commodities!$C$25</f>
        <v>COMCOA</v>
      </c>
      <c r="T79" t="str">
        <f>VLOOKUP(S79,Commodities!$C$18:$R$38,16,FALSE)</f>
        <v>Coal</v>
      </c>
    </row>
    <row r="80" spans="2:20" ht="13">
      <c r="B80" s="69"/>
      <c r="C80" s="69"/>
      <c r="D80" s="68" t="str">
        <f t="shared" si="1"/>
        <v>CHTUMSOLE1</v>
      </c>
      <c r="E80" s="87" t="str">
        <f t="shared" si="0"/>
        <v>Residential Heating Technology Urban Multi - Solar - Existing 1</v>
      </c>
      <c r="F80" s="68" t="s">
        <v>44</v>
      </c>
      <c r="G80" s="68" t="s">
        <v>65</v>
      </c>
      <c r="H80" s="79" t="s">
        <v>98</v>
      </c>
      <c r="I80" s="64"/>
      <c r="J80" s="64"/>
      <c r="K80" s="64"/>
      <c r="L80" s="133" t="s">
        <v>739</v>
      </c>
      <c r="M80" s="127" t="s">
        <v>746</v>
      </c>
      <c r="N80" s="127" t="s">
        <v>721</v>
      </c>
      <c r="O80" s="127" t="s">
        <v>714</v>
      </c>
      <c r="P80" t="str">
        <f t="shared" si="29"/>
        <v>SOL</v>
      </c>
      <c r="Q80" s="106" t="s">
        <v>806</v>
      </c>
      <c r="R80">
        <v>1</v>
      </c>
      <c r="S80" s="230" t="str">
        <f>Commodities!$C$27</f>
        <v>COMSOL</v>
      </c>
      <c r="T80" t="str">
        <f>VLOOKUP(S80,Commodities!$C$18:$R$38,16,FALSE)</f>
        <v>Solar</v>
      </c>
    </row>
    <row r="81" spans="2:20" ht="13">
      <c r="B81" s="69"/>
      <c r="C81" s="69"/>
      <c r="D81" s="68" t="str">
        <f t="shared" ref="D81" si="30">LEFT($D$2,1)&amp;LEFT(L81,1)&amp;LEFT(M81,1)&amp;LEFT(O81,1)&amp;LEFT(N81,1)&amp;P81&amp;LEFT(Q81,1)&amp;R81</f>
        <v>CHTUMGEOE1</v>
      </c>
      <c r="E81" s="87" t="str">
        <f t="shared" ref="E81" si="31">$E$2&amp;" "&amp;L81&amp;" "&amp;M81&amp;" "&amp;O81&amp;" "&amp;N81&amp;" - "&amp;T81&amp;" - "&amp;Q81&amp;" "&amp;R81</f>
        <v>Residential Heating Technology Urban Multi - Geothermal - Existing 1</v>
      </c>
      <c r="F81" s="68" t="s">
        <v>44</v>
      </c>
      <c r="G81" s="68" t="s">
        <v>65</v>
      </c>
      <c r="H81" s="79" t="s">
        <v>98</v>
      </c>
      <c r="I81" s="64"/>
      <c r="J81" s="64"/>
      <c r="K81" s="64"/>
      <c r="L81" s="133" t="s">
        <v>739</v>
      </c>
      <c r="M81" s="127" t="s">
        <v>746</v>
      </c>
      <c r="N81" s="127" t="s">
        <v>721</v>
      </c>
      <c r="O81" s="127" t="s">
        <v>714</v>
      </c>
      <c r="P81" t="str">
        <f t="shared" si="29"/>
        <v>GEO</v>
      </c>
      <c r="Q81" s="106" t="s">
        <v>806</v>
      </c>
      <c r="R81">
        <v>1</v>
      </c>
      <c r="S81" s="230" t="str">
        <f>Commodities!$C$28</f>
        <v>COMGEO</v>
      </c>
      <c r="T81" t="str">
        <f>VLOOKUP(S81,Commodities!$C$18:$R$38,16,FALSE)</f>
        <v>Geothermal</v>
      </c>
    </row>
    <row r="82" spans="2:20" ht="13">
      <c r="B82" s="69"/>
      <c r="C82" s="69"/>
      <c r="D82" s="68" t="str">
        <f t="shared" si="1"/>
        <v>CHTUMELCHE1</v>
      </c>
      <c r="E82" s="87" t="str">
        <f t="shared" si="0"/>
        <v>Residential Heating Technology Urban Multi - Electricity Heating - Existing 1</v>
      </c>
      <c r="F82" s="68" t="s">
        <v>44</v>
      </c>
      <c r="G82" s="68" t="s">
        <v>65</v>
      </c>
      <c r="H82" s="79" t="s">
        <v>98</v>
      </c>
      <c r="I82" s="64"/>
      <c r="J82" s="64"/>
      <c r="K82" s="64"/>
      <c r="L82" s="133" t="s">
        <v>739</v>
      </c>
      <c r="M82" s="127" t="s">
        <v>746</v>
      </c>
      <c r="N82" s="127" t="s">
        <v>721</v>
      </c>
      <c r="O82" s="127" t="s">
        <v>714</v>
      </c>
      <c r="P82" t="str">
        <f t="shared" si="29"/>
        <v>ELCH</v>
      </c>
      <c r="Q82" s="106" t="s">
        <v>806</v>
      </c>
      <c r="R82">
        <v>1</v>
      </c>
      <c r="S82" s="230" t="str">
        <f>Commodities!$C$29</f>
        <v>COMELCH</v>
      </c>
      <c r="T82" t="str">
        <f>VLOOKUP(S82,Commodities!$C$18:$R$38,16,FALSE)</f>
        <v>Electricity Heating</v>
      </c>
    </row>
    <row r="83" spans="2:20" ht="13">
      <c r="B83" s="69"/>
      <c r="C83" s="69"/>
      <c r="D83" s="68" t="str">
        <f t="shared" si="1"/>
        <v>CHTUMELCHE2</v>
      </c>
      <c r="E83" s="87" t="str">
        <f t="shared" ref="E83:E96" si="32">$E$2&amp;" "&amp;L83&amp;" "&amp;M83&amp;" "&amp;O83&amp;" "&amp;N83&amp;" - "&amp;T83&amp;" - "&amp;Q83&amp;" "&amp;R83</f>
        <v>Residential Heating Technology Urban Multi - Electricity Heating - Existing 2</v>
      </c>
      <c r="F83" s="68" t="s">
        <v>44</v>
      </c>
      <c r="G83" s="68" t="s">
        <v>65</v>
      </c>
      <c r="H83" s="79" t="s">
        <v>98</v>
      </c>
      <c r="I83" s="64"/>
      <c r="J83" s="64"/>
      <c r="K83" s="64"/>
      <c r="L83" s="133" t="s">
        <v>739</v>
      </c>
      <c r="M83" s="127" t="s">
        <v>746</v>
      </c>
      <c r="N83" s="127" t="s">
        <v>721</v>
      </c>
      <c r="O83" s="127" t="s">
        <v>714</v>
      </c>
      <c r="P83" t="str">
        <f t="shared" si="29"/>
        <v>ELCH</v>
      </c>
      <c r="Q83" s="106" t="s">
        <v>806</v>
      </c>
      <c r="R83">
        <v>2</v>
      </c>
      <c r="S83" s="230" t="s">
        <v>881</v>
      </c>
      <c r="T83" t="str">
        <f>VLOOKUP(S83,Commodities!$C$18:$R$38,16,FALSE)</f>
        <v>Electricity Heating</v>
      </c>
    </row>
    <row r="84" spans="2:20" ht="13">
      <c r="B84" s="78"/>
      <c r="C84" s="78"/>
      <c r="D84" s="68" t="str">
        <f t="shared" ref="D84:D100" si="33">LEFT($D$2,1)&amp;LEFT(L84,1)&amp;LEFT(M84,1)&amp;LEFT(O84,1)&amp;LEFT(N84,1)&amp;P84&amp;LEFT(Q84,1)&amp;R84</f>
        <v>CHTUMHCEE1</v>
      </c>
      <c r="E84" s="86" t="str">
        <f t="shared" si="32"/>
        <v>Residential Heating Technology Urban Multi - District heating Central - Existing 1</v>
      </c>
      <c r="F84" s="68" t="s">
        <v>44</v>
      </c>
      <c r="G84" s="68" t="s">
        <v>65</v>
      </c>
      <c r="H84" s="79" t="s">
        <v>98</v>
      </c>
      <c r="I84" s="82"/>
      <c r="J84" s="77"/>
      <c r="K84" s="77"/>
      <c r="L84" s="133" t="s">
        <v>739</v>
      </c>
      <c r="M84" s="127" t="s">
        <v>746</v>
      </c>
      <c r="N84" s="127" t="s">
        <v>721</v>
      </c>
      <c r="O84" s="127" t="s">
        <v>714</v>
      </c>
      <c r="P84" t="str">
        <f t="shared" si="29"/>
        <v>HCE</v>
      </c>
      <c r="Q84" s="106" t="s">
        <v>806</v>
      </c>
      <c r="R84">
        <v>1</v>
      </c>
      <c r="S84" s="230" t="str">
        <f>Commodities!$C$34</f>
        <v>COMHCE</v>
      </c>
      <c r="T84" t="str">
        <f>VLOOKUP(S84,Commodities!$C$18:$R$38,16,FALSE)</f>
        <v>District heating Central</v>
      </c>
    </row>
    <row r="85" spans="2:20" ht="13">
      <c r="B85" s="72"/>
      <c r="C85" s="72"/>
      <c r="D85" s="71" t="str">
        <f t="shared" si="33"/>
        <v>CHTUMLPGE1</v>
      </c>
      <c r="E85" s="88" t="str">
        <f t="shared" si="32"/>
        <v>Residential Heating Technology Urban Multi - LPG - Existing 1</v>
      </c>
      <c r="F85" s="71" t="s">
        <v>44</v>
      </c>
      <c r="G85" s="71" t="s">
        <v>65</v>
      </c>
      <c r="H85" s="75" t="s">
        <v>98</v>
      </c>
      <c r="I85" s="84"/>
      <c r="J85" s="70"/>
      <c r="K85" s="77"/>
      <c r="L85" s="133" t="s">
        <v>739</v>
      </c>
      <c r="M85" s="127" t="s">
        <v>746</v>
      </c>
      <c r="N85" s="127" t="s">
        <v>721</v>
      </c>
      <c r="O85" s="127" t="s">
        <v>714</v>
      </c>
      <c r="P85" t="str">
        <f t="shared" si="29"/>
        <v>LPG</v>
      </c>
      <c r="Q85" s="106" t="s">
        <v>806</v>
      </c>
      <c r="R85">
        <v>1</v>
      </c>
      <c r="S85" s="256" t="str">
        <f>Commodities!$C$20</f>
        <v>COMLPG</v>
      </c>
      <c r="T85" t="str">
        <f>VLOOKUP(S85,Commodities!$C$18:$R$38,16,FALSE)</f>
        <v>LPG</v>
      </c>
    </row>
    <row r="86" spans="2:20" ht="13">
      <c r="B86" s="69"/>
      <c r="C86" s="69"/>
      <c r="D86" s="68" t="str">
        <f t="shared" si="33"/>
        <v>CHTRMNGAE1</v>
      </c>
      <c r="E86" s="86" t="str">
        <f t="shared" si="32"/>
        <v>Residential Heating Technology Rural Multi - Natural Gas - Existing 1</v>
      </c>
      <c r="F86" s="68" t="s">
        <v>44</v>
      </c>
      <c r="G86" s="68" t="s">
        <v>65</v>
      </c>
      <c r="H86" s="79" t="s">
        <v>98</v>
      </c>
      <c r="I86" s="64"/>
      <c r="J86" s="64"/>
      <c r="K86" s="64"/>
      <c r="L86" s="133" t="s">
        <v>739</v>
      </c>
      <c r="M86" s="127" t="s">
        <v>746</v>
      </c>
      <c r="N86" s="127" t="s">
        <v>721</v>
      </c>
      <c r="O86" s="127" t="s">
        <v>715</v>
      </c>
      <c r="P86" t="str">
        <f t="shared" si="29"/>
        <v>NGA</v>
      </c>
      <c r="Q86" s="106" t="s">
        <v>806</v>
      </c>
      <c r="R86">
        <v>1</v>
      </c>
      <c r="S86" s="230" t="str">
        <f>Commodities!$C$18</f>
        <v>COMNGA</v>
      </c>
      <c r="T86" t="str">
        <f>VLOOKUP(S86,Commodities!$C$18:$R$38,16,FALSE)</f>
        <v>Natural Gas</v>
      </c>
    </row>
    <row r="87" spans="2:20" ht="13">
      <c r="B87" s="69"/>
      <c r="C87" s="69"/>
      <c r="D87" s="68" t="str">
        <f t="shared" si="33"/>
        <v>CHTRMDSLE1</v>
      </c>
      <c r="E87" s="86" t="str">
        <f t="shared" si="32"/>
        <v>Residential Heating Technology Rural Multi - Diesel - Existing 1</v>
      </c>
      <c r="F87" s="68" t="s">
        <v>44</v>
      </c>
      <c r="G87" s="68" t="s">
        <v>65</v>
      </c>
      <c r="H87" s="79" t="s">
        <v>98</v>
      </c>
      <c r="I87" s="64"/>
      <c r="J87" s="64"/>
      <c r="K87" s="64"/>
      <c r="L87" s="133" t="s">
        <v>739</v>
      </c>
      <c r="M87" s="127" t="s">
        <v>746</v>
      </c>
      <c r="N87" s="127" t="s">
        <v>721</v>
      </c>
      <c r="O87" s="127" t="s">
        <v>715</v>
      </c>
      <c r="P87" t="str">
        <f t="shared" si="29"/>
        <v>DSL</v>
      </c>
      <c r="Q87" s="106" t="s">
        <v>806</v>
      </c>
      <c r="R87">
        <v>1</v>
      </c>
      <c r="S87" s="230" t="str">
        <f>Commodities!$C$21</f>
        <v>COMDSL</v>
      </c>
      <c r="T87" t="str">
        <f>VLOOKUP(S87,Commodities!$C$18:$R$38,16,FALSE)</f>
        <v>Diesel</v>
      </c>
    </row>
    <row r="88" spans="2:20" ht="13">
      <c r="B88" s="69"/>
      <c r="C88" s="69"/>
      <c r="D88" s="68" t="str">
        <f t="shared" si="33"/>
        <v>CHTRMWPEE1</v>
      </c>
      <c r="E88" s="148" t="str">
        <f t="shared" si="32"/>
        <v>Residential Heating Technology Rural Multi - Wood pellets - Existing 1</v>
      </c>
      <c r="F88" s="68" t="s">
        <v>44</v>
      </c>
      <c r="G88" s="68" t="s">
        <v>65</v>
      </c>
      <c r="H88" s="79" t="s">
        <v>98</v>
      </c>
      <c r="I88" s="64"/>
      <c r="J88" s="64"/>
      <c r="K88" s="64"/>
      <c r="L88" s="133" t="s">
        <v>739</v>
      </c>
      <c r="M88" s="127" t="s">
        <v>746</v>
      </c>
      <c r="N88" s="127" t="s">
        <v>721</v>
      </c>
      <c r="O88" s="127" t="s">
        <v>715</v>
      </c>
      <c r="P88" t="str">
        <f t="shared" si="29"/>
        <v>WPE</v>
      </c>
      <c r="Q88" s="106" t="s">
        <v>806</v>
      </c>
      <c r="R88">
        <v>1</v>
      </c>
      <c r="S88" s="230" t="str">
        <f>Commodities!$C$23</f>
        <v>COMWPE</v>
      </c>
      <c r="T88" t="str">
        <f>VLOOKUP(S88,Commodities!$C$18:$R$38,16,FALSE)</f>
        <v>Wood pellets</v>
      </c>
    </row>
    <row r="89" spans="2:20" ht="13">
      <c r="B89" s="69"/>
      <c r="C89" s="69"/>
      <c r="D89" s="68" t="str">
        <f t="shared" si="33"/>
        <v>CHTRMFIWE1</v>
      </c>
      <c r="E89" s="148" t="str">
        <f t="shared" si="32"/>
        <v>Residential Heating Technology Rural Multi - Fire wood - Existing 1</v>
      </c>
      <c r="F89" s="68" t="s">
        <v>44</v>
      </c>
      <c r="G89" s="68" t="s">
        <v>65</v>
      </c>
      <c r="H89" s="79" t="s">
        <v>98</v>
      </c>
      <c r="I89" s="64"/>
      <c r="J89" s="64"/>
      <c r="K89" s="64"/>
      <c r="L89" s="133" t="s">
        <v>739</v>
      </c>
      <c r="M89" s="127" t="s">
        <v>746</v>
      </c>
      <c r="N89" s="127" t="s">
        <v>721</v>
      </c>
      <c r="O89" s="127" t="s">
        <v>715</v>
      </c>
      <c r="P89" t="str">
        <f t="shared" si="29"/>
        <v>FIW</v>
      </c>
      <c r="Q89" s="106" t="s">
        <v>806</v>
      </c>
      <c r="R89">
        <v>1</v>
      </c>
      <c r="S89" s="230" t="str">
        <f>Commodities!$C$24</f>
        <v>COMFIW</v>
      </c>
      <c r="T89" t="str">
        <f>VLOOKUP(S89,Commodities!$C$18:$R$38,16,FALSE)</f>
        <v>Fire wood</v>
      </c>
    </row>
    <row r="90" spans="2:20" ht="13">
      <c r="B90" s="69"/>
      <c r="C90" s="69"/>
      <c r="D90" s="68" t="str">
        <f t="shared" si="33"/>
        <v>CHTRMCOAE1</v>
      </c>
      <c r="E90" s="86" t="str">
        <f t="shared" si="32"/>
        <v>Residential Heating Technology Rural Multi - Coal - Existing 1</v>
      </c>
      <c r="F90" s="68" t="s">
        <v>44</v>
      </c>
      <c r="G90" s="68" t="s">
        <v>65</v>
      </c>
      <c r="H90" s="79" t="s">
        <v>98</v>
      </c>
      <c r="I90" s="64"/>
      <c r="J90" s="64"/>
      <c r="K90" s="64"/>
      <c r="L90" s="133" t="s">
        <v>739</v>
      </c>
      <c r="M90" s="127" t="s">
        <v>746</v>
      </c>
      <c r="N90" s="127" t="s">
        <v>721</v>
      </c>
      <c r="O90" s="127" t="s">
        <v>715</v>
      </c>
      <c r="P90" t="str">
        <f t="shared" si="29"/>
        <v>COA</v>
      </c>
      <c r="Q90" s="106" t="s">
        <v>806</v>
      </c>
      <c r="R90">
        <v>1</v>
      </c>
      <c r="S90" s="230" t="str">
        <f>Commodities!$C$25</f>
        <v>COMCOA</v>
      </c>
      <c r="T90" t="str">
        <f>VLOOKUP(S90,Commodities!$C$18:$R$38,16,FALSE)</f>
        <v>Coal</v>
      </c>
    </row>
    <row r="91" spans="2:20" ht="13">
      <c r="B91" s="69"/>
      <c r="C91" s="69"/>
      <c r="D91" s="68" t="str">
        <f t="shared" si="33"/>
        <v>CHTRMSOLE1</v>
      </c>
      <c r="E91" s="86" t="str">
        <f t="shared" si="32"/>
        <v>Residential Heating Technology Rural Multi - Solar - Existing 1</v>
      </c>
      <c r="F91" s="68" t="s">
        <v>44</v>
      </c>
      <c r="G91" s="68" t="s">
        <v>65</v>
      </c>
      <c r="H91" s="79" t="s">
        <v>98</v>
      </c>
      <c r="I91" s="64"/>
      <c r="J91" s="64"/>
      <c r="K91" s="64"/>
      <c r="L91" s="133" t="s">
        <v>739</v>
      </c>
      <c r="M91" s="127" t="s">
        <v>746</v>
      </c>
      <c r="N91" s="127" t="s">
        <v>721</v>
      </c>
      <c r="O91" s="127" t="s">
        <v>715</v>
      </c>
      <c r="P91" t="str">
        <f t="shared" si="29"/>
        <v>SOL</v>
      </c>
      <c r="Q91" s="106" t="s">
        <v>806</v>
      </c>
      <c r="R91">
        <v>1</v>
      </c>
      <c r="S91" s="230" t="str">
        <f>Commodities!$C$27</f>
        <v>COMSOL</v>
      </c>
      <c r="T91" t="str">
        <f>VLOOKUP(S91,Commodities!$C$18:$R$38,16,FALSE)</f>
        <v>Solar</v>
      </c>
    </row>
    <row r="92" spans="2:20" ht="13">
      <c r="B92" s="69"/>
      <c r="C92" s="69"/>
      <c r="D92" s="68" t="str">
        <f t="shared" ref="D92" si="34">LEFT($D$2,1)&amp;LEFT(L92,1)&amp;LEFT(M92,1)&amp;LEFT(O92,1)&amp;LEFT(N92,1)&amp;P92&amp;LEFT(Q92,1)&amp;R92</f>
        <v>CHTRMGEOE1</v>
      </c>
      <c r="E92" s="86" t="str">
        <f t="shared" ref="E92" si="35">$E$2&amp;" "&amp;L92&amp;" "&amp;M92&amp;" "&amp;O92&amp;" "&amp;N92&amp;" - "&amp;T92&amp;" - "&amp;Q92&amp;" "&amp;R92</f>
        <v>Residential Heating Technology Rural Multi - Geothermal - Existing 1</v>
      </c>
      <c r="F92" s="68" t="s">
        <v>44</v>
      </c>
      <c r="G92" s="68" t="s">
        <v>65</v>
      </c>
      <c r="H92" s="79" t="s">
        <v>98</v>
      </c>
      <c r="I92" s="64"/>
      <c r="J92" s="64"/>
      <c r="K92" s="64"/>
      <c r="L92" s="133" t="s">
        <v>739</v>
      </c>
      <c r="M92" s="127" t="s">
        <v>746</v>
      </c>
      <c r="N92" s="127" t="s">
        <v>721</v>
      </c>
      <c r="O92" s="127" t="s">
        <v>715</v>
      </c>
      <c r="P92" t="str">
        <f t="shared" ref="P92" si="36">RIGHT(S92,LEN(S92)-3)</f>
        <v>GEO</v>
      </c>
      <c r="Q92" s="106" t="s">
        <v>806</v>
      </c>
      <c r="R92">
        <v>1</v>
      </c>
      <c r="S92" s="230" t="str">
        <f>Commodities!$C$28</f>
        <v>COMGEO</v>
      </c>
      <c r="T92" t="str">
        <f>VLOOKUP(S92,Commodities!$C$18:$R$38,16,FALSE)</f>
        <v>Geothermal</v>
      </c>
    </row>
    <row r="93" spans="2:20" ht="13">
      <c r="B93" s="69"/>
      <c r="C93" s="69"/>
      <c r="D93" s="68" t="str">
        <f t="shared" si="33"/>
        <v>CHTRMELCHE1</v>
      </c>
      <c r="E93" s="136" t="str">
        <f t="shared" si="32"/>
        <v>Residential Heating Technology Rural Multi - Electricity Heating - Existing 1</v>
      </c>
      <c r="F93" s="68" t="s">
        <v>44</v>
      </c>
      <c r="G93" s="68" t="s">
        <v>65</v>
      </c>
      <c r="H93" s="79" t="s">
        <v>98</v>
      </c>
      <c r="I93" s="64"/>
      <c r="J93" s="64"/>
      <c r="K93" s="64"/>
      <c r="L93" s="133" t="s">
        <v>739</v>
      </c>
      <c r="M93" s="127" t="s">
        <v>746</v>
      </c>
      <c r="N93" s="127" t="s">
        <v>721</v>
      </c>
      <c r="O93" s="127" t="s">
        <v>715</v>
      </c>
      <c r="P93" t="str">
        <f t="shared" si="29"/>
        <v>ELCH</v>
      </c>
      <c r="Q93" s="106" t="s">
        <v>806</v>
      </c>
      <c r="R93">
        <v>1</v>
      </c>
      <c r="S93" s="230" t="str">
        <f>Commodities!$C$29</f>
        <v>COMELCH</v>
      </c>
      <c r="T93" t="str">
        <f>VLOOKUP(S93,Commodities!$C$18:$R$38,16,FALSE)</f>
        <v>Electricity Heating</v>
      </c>
    </row>
    <row r="94" spans="2:20" ht="13">
      <c r="B94" s="69"/>
      <c r="C94" s="69"/>
      <c r="D94" s="68" t="str">
        <f t="shared" si="33"/>
        <v>CHTRMELCHE2</v>
      </c>
      <c r="E94" s="87" t="str">
        <f t="shared" si="32"/>
        <v>Residential Heating Technology Rural Multi - Electricity Heating - Existing 2</v>
      </c>
      <c r="F94" s="68" t="s">
        <v>44</v>
      </c>
      <c r="G94" s="68" t="s">
        <v>65</v>
      </c>
      <c r="H94" s="79" t="s">
        <v>98</v>
      </c>
      <c r="I94" s="64"/>
      <c r="J94" s="64"/>
      <c r="K94" s="64"/>
      <c r="L94" s="133" t="s">
        <v>739</v>
      </c>
      <c r="M94" s="127" t="s">
        <v>746</v>
      </c>
      <c r="N94" s="127" t="s">
        <v>721</v>
      </c>
      <c r="O94" s="127" t="s">
        <v>715</v>
      </c>
      <c r="P94" t="str">
        <f t="shared" si="29"/>
        <v>ELCH</v>
      </c>
      <c r="Q94" s="106" t="s">
        <v>806</v>
      </c>
      <c r="R94">
        <v>2</v>
      </c>
      <c r="S94" s="230" t="s">
        <v>881</v>
      </c>
      <c r="T94" t="str">
        <f>VLOOKUP(S94,Commodities!$C$18:$R$38,16,FALSE)</f>
        <v>Electricity Heating</v>
      </c>
    </row>
    <row r="95" spans="2:20" ht="13">
      <c r="B95" s="69"/>
      <c r="C95" s="69"/>
      <c r="D95" s="68" t="str">
        <f t="shared" si="33"/>
        <v>CHTRMHCEE1</v>
      </c>
      <c r="E95" s="86" t="str">
        <f t="shared" si="32"/>
        <v>Residential Heating Technology Rural Multi - District heating Central - Existing 1</v>
      </c>
      <c r="F95" s="68" t="s">
        <v>44</v>
      </c>
      <c r="G95" s="68" t="s">
        <v>65</v>
      </c>
      <c r="H95" s="79" t="s">
        <v>98</v>
      </c>
      <c r="I95" s="81"/>
      <c r="J95" s="64"/>
      <c r="K95" s="64"/>
      <c r="L95" s="133" t="s">
        <v>739</v>
      </c>
      <c r="M95" s="127" t="s">
        <v>746</v>
      </c>
      <c r="N95" s="127" t="s">
        <v>721</v>
      </c>
      <c r="O95" s="127" t="s">
        <v>715</v>
      </c>
      <c r="P95" t="str">
        <f t="shared" si="29"/>
        <v>HCE</v>
      </c>
      <c r="Q95" s="106" t="s">
        <v>806</v>
      </c>
      <c r="R95">
        <v>1</v>
      </c>
      <c r="S95" s="230" t="str">
        <f>Commodities!$C$34</f>
        <v>COMHCE</v>
      </c>
      <c r="T95" t="str">
        <f>VLOOKUP(S95,Commodities!$C$18:$R$38,16,FALSE)</f>
        <v>District heating Central</v>
      </c>
    </row>
    <row r="96" spans="2:20" ht="13">
      <c r="B96" s="72"/>
      <c r="C96" s="72"/>
      <c r="D96" s="71" t="str">
        <f t="shared" si="33"/>
        <v>CHTRMLPGE1</v>
      </c>
      <c r="E96" s="88" t="str">
        <f t="shared" si="32"/>
        <v>Residential Heating Technology Rural Multi - LPG - Existing 1</v>
      </c>
      <c r="F96" s="71" t="s">
        <v>44</v>
      </c>
      <c r="G96" s="71" t="s">
        <v>65</v>
      </c>
      <c r="H96" s="75" t="s">
        <v>98</v>
      </c>
      <c r="I96" s="84"/>
      <c r="J96" s="70"/>
      <c r="K96" s="77"/>
      <c r="L96" s="133" t="s">
        <v>739</v>
      </c>
      <c r="M96" s="127" t="s">
        <v>746</v>
      </c>
      <c r="N96" s="127" t="s">
        <v>721</v>
      </c>
      <c r="O96" s="127" t="s">
        <v>715</v>
      </c>
      <c r="P96" t="str">
        <f t="shared" si="29"/>
        <v>LPG</v>
      </c>
      <c r="Q96" s="106" t="s">
        <v>806</v>
      </c>
      <c r="R96">
        <v>1</v>
      </c>
      <c r="S96" s="256" t="str">
        <f>Commodities!$C$20</f>
        <v>COMLPG</v>
      </c>
      <c r="T96" t="str">
        <f>VLOOKUP(S96,Commodities!$C$18:$R$38,16,FALSE)</f>
        <v>LPG</v>
      </c>
    </row>
    <row r="97" spans="2:20" ht="13">
      <c r="B97" s="78"/>
      <c r="C97" s="78"/>
      <c r="D97" s="133" t="str">
        <f t="shared" si="33"/>
        <v>CCTUMELCAE1</v>
      </c>
      <c r="E97" s="136" t="str">
        <f t="shared" ref="E97:E100" si="37">$E$2&amp;" "&amp;L97&amp;" "&amp;M97&amp;" "&amp;O97&amp;" "&amp;N97&amp;" - "&amp;T97&amp;" - "&amp;Q97&amp;" "&amp;R97</f>
        <v>Residential Cooling Technology Urban Multi - Electricity Appliances - Existing 1</v>
      </c>
      <c r="F97" s="68" t="s">
        <v>44</v>
      </c>
      <c r="G97" s="68" t="s">
        <v>65</v>
      </c>
      <c r="H97" s="74" t="s">
        <v>98</v>
      </c>
      <c r="I97" s="82"/>
      <c r="J97" s="77"/>
      <c r="K97" s="77"/>
      <c r="L97" s="133" t="s">
        <v>273</v>
      </c>
      <c r="M97" s="127" t="s">
        <v>746</v>
      </c>
      <c r="N97" s="127" t="s">
        <v>721</v>
      </c>
      <c r="O97" s="127" t="s">
        <v>714</v>
      </c>
      <c r="P97" t="str">
        <f t="shared" ref="P97:P100" si="38">RIGHT(S97,LEN(S97)-3)</f>
        <v>ELCA</v>
      </c>
      <c r="Q97" s="106" t="s">
        <v>806</v>
      </c>
      <c r="R97">
        <v>1</v>
      </c>
      <c r="S97" s="256" t="str">
        <f>Commodities!$C$31</f>
        <v>COMELCA</v>
      </c>
      <c r="T97" t="str">
        <f>VLOOKUP(S97,Commodities!$C$18:$R$38,16,FALSE)</f>
        <v>Electricity Appliances</v>
      </c>
    </row>
    <row r="98" spans="2:20" ht="13">
      <c r="B98" s="78"/>
      <c r="C98" s="78"/>
      <c r="D98" s="133" t="str">
        <f t="shared" si="33"/>
        <v>CCTRMELCAE1</v>
      </c>
      <c r="E98" s="136" t="str">
        <f t="shared" si="37"/>
        <v>Residential Cooling Technology Rural Multi - Electricity Appliances - Existing 1</v>
      </c>
      <c r="F98" s="68" t="s">
        <v>44</v>
      </c>
      <c r="G98" s="68" t="s">
        <v>65</v>
      </c>
      <c r="H98" s="74" t="s">
        <v>98</v>
      </c>
      <c r="I98" s="82"/>
      <c r="J98" s="77"/>
      <c r="K98" s="77"/>
      <c r="L98" s="133" t="s">
        <v>273</v>
      </c>
      <c r="M98" s="127" t="s">
        <v>746</v>
      </c>
      <c r="N98" s="127" t="s">
        <v>721</v>
      </c>
      <c r="O98" s="127" t="s">
        <v>715</v>
      </c>
      <c r="P98" t="str">
        <f t="shared" si="38"/>
        <v>ELCA</v>
      </c>
      <c r="Q98" s="106" t="s">
        <v>806</v>
      </c>
      <c r="R98">
        <v>1</v>
      </c>
      <c r="S98" s="256" t="str">
        <f>Commodities!$C$31</f>
        <v>COMELCA</v>
      </c>
      <c r="T98" t="str">
        <f>VLOOKUP(S98,Commodities!$C$18:$R$38,16,FALSE)</f>
        <v>Electricity Appliances</v>
      </c>
    </row>
    <row r="99" spans="2:20" ht="13">
      <c r="B99" s="78"/>
      <c r="C99" s="78"/>
      <c r="D99" s="133" t="str">
        <f t="shared" si="33"/>
        <v>CCTUDELCAE1</v>
      </c>
      <c r="E99" s="136" t="str">
        <f t="shared" si="37"/>
        <v>Residential Cooling Technology Urban Detached - Electricity Appliances - Existing 1</v>
      </c>
      <c r="F99" s="68" t="s">
        <v>44</v>
      </c>
      <c r="G99" s="68" t="s">
        <v>65</v>
      </c>
      <c r="H99" s="74" t="s">
        <v>98</v>
      </c>
      <c r="I99" s="82"/>
      <c r="J99" s="77"/>
      <c r="K99" s="77"/>
      <c r="L99" s="133" t="s">
        <v>273</v>
      </c>
      <c r="M99" s="127" t="s">
        <v>746</v>
      </c>
      <c r="N99" s="127" t="s">
        <v>102</v>
      </c>
      <c r="O99" s="127" t="s">
        <v>714</v>
      </c>
      <c r="P99" t="str">
        <f t="shared" si="38"/>
        <v>ELCA</v>
      </c>
      <c r="Q99" s="106" t="s">
        <v>806</v>
      </c>
      <c r="R99">
        <v>1</v>
      </c>
      <c r="S99" s="256" t="str">
        <f>Commodities!$C$31</f>
        <v>COMELCA</v>
      </c>
      <c r="T99" t="str">
        <f>VLOOKUP(S99,Commodities!$C$18:$R$38,16,FALSE)</f>
        <v>Electricity Appliances</v>
      </c>
    </row>
    <row r="100" spans="2:20" ht="13">
      <c r="B100" s="485"/>
      <c r="C100" s="485"/>
      <c r="D100" s="486" t="str">
        <f t="shared" si="33"/>
        <v>CCTRDELCAE1</v>
      </c>
      <c r="E100" s="487" t="str">
        <f t="shared" si="37"/>
        <v>Residential Cooling Technology Rural Detached - Electricity Appliances - Existing 1</v>
      </c>
      <c r="F100" s="488" t="s">
        <v>44</v>
      </c>
      <c r="G100" s="488" t="s">
        <v>65</v>
      </c>
      <c r="H100" s="489" t="s">
        <v>98</v>
      </c>
      <c r="I100" s="490"/>
      <c r="J100" s="491"/>
      <c r="K100" s="77"/>
      <c r="L100" s="133" t="s">
        <v>273</v>
      </c>
      <c r="M100" s="127" t="s">
        <v>746</v>
      </c>
      <c r="N100" s="127" t="s">
        <v>102</v>
      </c>
      <c r="O100" s="127" t="s">
        <v>715</v>
      </c>
      <c r="P100" t="str">
        <f t="shared" si="38"/>
        <v>ELCA</v>
      </c>
      <c r="Q100" s="106" t="s">
        <v>806</v>
      </c>
      <c r="R100">
        <v>1</v>
      </c>
      <c r="S100" s="256" t="str">
        <f>Commodities!$C$31</f>
        <v>COMELCA</v>
      </c>
      <c r="T100" t="str">
        <f>VLOOKUP(S100,Commodities!$C$18:$R$38,16,FALSE)</f>
        <v>Electricity Appliances</v>
      </c>
    </row>
    <row r="101" spans="2:20" ht="13">
      <c r="B101" s="78"/>
      <c r="C101" s="78"/>
      <c r="D101" s="69" t="str">
        <f>"FT-"&amp;$D$2&amp;RIGHT(Commodities!C19,3)</f>
        <v>FT-COMBGA</v>
      </c>
      <c r="E101" s="89" t="str">
        <f>"Fuel Technology "&amp;Commodities!D19</f>
        <v>Fuel Technology Residential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Residential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Residential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Residential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Residential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Residential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Residential      Fire wood</v>
      </c>
      <c r="F107" s="68" t="s">
        <v>44</v>
      </c>
      <c r="G107" s="68" t="s">
        <v>66</v>
      </c>
      <c r="H107" s="64"/>
      <c r="I107" s="64"/>
      <c r="J107" s="64"/>
      <c r="K107" s="64"/>
    </row>
    <row r="108" spans="2:20" s="608" customFormat="1">
      <c r="B108" s="604"/>
      <c r="C108" s="604"/>
      <c r="D108" s="604" t="str">
        <f>"FT-"&amp;$D$2&amp;RIGHT(Commodities!C25,3)</f>
        <v>FT-COMCOA</v>
      </c>
      <c r="E108" s="605" t="str">
        <f>"Fuel Technology "&amp;Commodities!D25</f>
        <v>Fuel Technology Residential      Coal</v>
      </c>
      <c r="F108" s="606" t="s">
        <v>44</v>
      </c>
      <c r="G108" s="606" t="s">
        <v>66</v>
      </c>
      <c r="H108" s="604"/>
      <c r="I108" s="604"/>
      <c r="J108" s="604"/>
      <c r="K108" s="604"/>
    </row>
    <row r="109" spans="2:20">
      <c r="B109" s="64"/>
      <c r="C109" s="64"/>
      <c r="D109" s="64" t="str">
        <f>"FT-"&amp;$D$2&amp;RIGHT(Commodities!C26,3)</f>
        <v>FT-COMMH2</v>
      </c>
      <c r="E109" s="64" t="str">
        <f>"Fuel Technology "&amp;Commodities!D26</f>
        <v>Fuel Technology Residential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Residential      Solar</v>
      </c>
      <c r="F110" s="68" t="s">
        <v>44</v>
      </c>
      <c r="G110" s="68" t="s">
        <v>66</v>
      </c>
      <c r="H110" s="64"/>
      <c r="I110" s="64"/>
      <c r="J110" s="64"/>
      <c r="K110" s="64"/>
    </row>
    <row r="111" spans="2:20" s="608" customFormat="1">
      <c r="B111" s="604"/>
      <c r="C111" s="604"/>
      <c r="D111" s="604" t="str">
        <f>"FT-"&amp;$D$2&amp;RIGHT(Commodities!C28,3)</f>
        <v>FT-COMGEO</v>
      </c>
      <c r="E111" s="605" t="str">
        <f>"Fuel Technology "&amp;Commodities!D28</f>
        <v>Fuel Technology Residential      Geothermal</v>
      </c>
      <c r="F111" s="606" t="s">
        <v>44</v>
      </c>
      <c r="G111" s="606" t="s">
        <v>66</v>
      </c>
      <c r="H111" s="604"/>
      <c r="I111" s="604"/>
      <c r="J111" s="604"/>
      <c r="K111" s="604"/>
    </row>
    <row r="112" spans="2:20">
      <c r="B112" s="69"/>
      <c r="C112" s="69"/>
      <c r="D112" s="69" t="str">
        <f>"FT-"&amp;$D$2&amp;RIGHT(Commodities!C29,3)</f>
        <v>FT-COMLCH</v>
      </c>
      <c r="E112" s="89" t="str">
        <f>"Fuel Technology for "&amp;Commodities!D29</f>
        <v>Fuel Technology for Residential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Residential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Residential      Electricity Appliances</v>
      </c>
      <c r="F114" s="68" t="s">
        <v>44</v>
      </c>
      <c r="G114" s="68" t="s">
        <v>66</v>
      </c>
      <c r="H114" s="79" t="s">
        <v>98</v>
      </c>
      <c r="I114" s="64"/>
      <c r="J114" s="64"/>
      <c r="K114" s="64"/>
    </row>
    <row r="115" spans="2:12" s="608" customFormat="1">
      <c r="B115" s="604"/>
      <c r="C115" s="604"/>
      <c r="D115" s="604" t="str">
        <f>"FT-"&amp;$D$2&amp;RIGHT(Commodities!C32,3)</f>
        <v>FT-COMLCO</v>
      </c>
      <c r="E115" s="605" t="str">
        <f>"Fuel Technology for "&amp;Commodities!D32</f>
        <v>Fuel Technology for Residential      Electricity Cooking</v>
      </c>
      <c r="F115" s="606" t="s">
        <v>44</v>
      </c>
      <c r="G115" s="606" t="s">
        <v>66</v>
      </c>
      <c r="H115" s="607" t="s">
        <v>98</v>
      </c>
      <c r="I115" s="604"/>
      <c r="J115" s="604"/>
      <c r="K115" s="604"/>
    </row>
    <row r="116" spans="2:12" s="608" customFormat="1">
      <c r="B116" s="604"/>
      <c r="C116" s="604"/>
      <c r="D116" s="604" t="str">
        <f>"FT-"&amp;$D$2&amp;RIGHT(Commodities!C33,3)</f>
        <v>FT-COMLCW</v>
      </c>
      <c r="E116" s="605" t="str">
        <f>"Fuel Technology for "&amp;Commodities!D33</f>
        <v>Fuel Technology for Residential      Electricity Water Heating</v>
      </c>
      <c r="F116" s="606" t="s">
        <v>44</v>
      </c>
      <c r="G116" s="606" t="s">
        <v>66</v>
      </c>
      <c r="H116" s="607" t="s">
        <v>98</v>
      </c>
      <c r="I116" s="604"/>
      <c r="J116" s="604"/>
      <c r="K116" s="604"/>
    </row>
    <row r="117" spans="2:12">
      <c r="B117" s="69"/>
      <c r="C117" s="69"/>
      <c r="D117" s="69" t="str">
        <f>"FT-"&amp;$D$2&amp;RIGHT(Commodities!C34,3)</f>
        <v>FT-COMHCE</v>
      </c>
      <c r="E117" s="89" t="str">
        <f>"Fuel Technology "&amp;Commodities!D34</f>
        <v>Fuel Technology Residential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Residential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Residential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Residential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8"/>
  <sheetViews>
    <sheetView topLeftCell="A7" zoomScaleNormal="100" workbookViewId="0">
      <selection activeCell="C17" sqref="C17"/>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93</v>
      </c>
      <c r="H4" s="16"/>
      <c r="I4" s="16"/>
    </row>
    <row r="5" spans="2:9" ht="13" thickBot="1">
      <c r="B5" s="17" t="s">
        <v>45</v>
      </c>
      <c r="C5" s="18"/>
      <c r="D5" s="18"/>
      <c r="E5" s="19"/>
      <c r="F5" s="20"/>
      <c r="G5" s="20"/>
      <c r="H5" s="20"/>
      <c r="I5" s="20"/>
    </row>
    <row r="6" spans="2:9" ht="13" thickBot="1">
      <c r="B6" s="193" t="str">
        <f>Processes!D102</f>
        <v>FT-COMNGA</v>
      </c>
      <c r="C6" s="193" t="str">
        <f>Processes!E102</f>
        <v>Fuel Technology Residential      Natural Gas</v>
      </c>
      <c r="D6" s="193" t="s">
        <v>822</v>
      </c>
      <c r="E6" s="193" t="str">
        <f>Commodities!C18</f>
        <v>COMNGA</v>
      </c>
      <c r="F6" s="194">
        <v>1</v>
      </c>
      <c r="G6" s="193">
        <v>50</v>
      </c>
      <c r="H6" s="279"/>
      <c r="I6" s="279"/>
    </row>
    <row r="7" spans="2:9" s="608" customFormat="1" ht="13" thickBot="1">
      <c r="B7" s="612" t="str">
        <f>Processes!D101</f>
        <v>FT-COMBGA</v>
      </c>
      <c r="C7" s="612" t="str">
        <f>Processes!E101</f>
        <v>Fuel Technology Residential      Biogas</v>
      </c>
      <c r="D7" s="612" t="s">
        <v>861</v>
      </c>
      <c r="E7" s="612" t="str">
        <f>Commodities!C19</f>
        <v>COMBGA</v>
      </c>
      <c r="F7" s="613">
        <v>1</v>
      </c>
      <c r="G7" s="612">
        <v>50</v>
      </c>
      <c r="H7" s="614"/>
      <c r="I7" s="614"/>
    </row>
    <row r="8" spans="2:9">
      <c r="B8" s="193" t="str">
        <f>Processes!D103</f>
        <v>FT-COMLPG</v>
      </c>
      <c r="C8" s="193" t="str">
        <f>Processes!E103</f>
        <v>Fuel Technology Residential      LPG</v>
      </c>
      <c r="D8" s="193" t="str">
        <f>RIGHT(Commodities!C20,3)</f>
        <v>LPG</v>
      </c>
      <c r="E8" s="193" t="str">
        <f>Commodities!C20</f>
        <v>COMLPG</v>
      </c>
      <c r="F8" s="194">
        <v>1</v>
      </c>
      <c r="G8" s="193">
        <v>50</v>
      </c>
      <c r="H8" s="279"/>
      <c r="I8" s="279"/>
    </row>
    <row r="9" spans="2:9">
      <c r="B9" s="1" t="str">
        <f>Processes!D104</f>
        <v>FT-COMDSL</v>
      </c>
      <c r="C9" s="1" t="str">
        <f>Processes!E104</f>
        <v>Fuel Technology Residential      Diesel</v>
      </c>
      <c r="D9" s="1" t="str">
        <f>RIGHT(Commodities!C21,3)</f>
        <v>DSL</v>
      </c>
      <c r="E9" s="1" t="str">
        <f>Commodities!C21</f>
        <v>COMDSL</v>
      </c>
      <c r="F9" s="21">
        <v>1</v>
      </c>
      <c r="G9" s="1">
        <v>50</v>
      </c>
      <c r="H9" s="280"/>
      <c r="I9" s="280"/>
    </row>
    <row r="10" spans="2:9">
      <c r="B10" s="1" t="str">
        <f>Processes!D105</f>
        <v>FT-COMGSL</v>
      </c>
      <c r="C10" s="1" t="str">
        <f>Processes!E105</f>
        <v>Fuel Technology Residential      Gasoline</v>
      </c>
      <c r="D10" s="1" t="str">
        <f>RIGHT(Commodities!C22,3)</f>
        <v>GSL</v>
      </c>
      <c r="E10" s="1" t="str">
        <f>Commodities!C22</f>
        <v>COMGSL</v>
      </c>
      <c r="F10" s="21">
        <v>1</v>
      </c>
      <c r="G10" s="1">
        <v>50</v>
      </c>
      <c r="H10" s="280"/>
      <c r="I10" s="280"/>
    </row>
    <row r="11" spans="2:9">
      <c r="B11" s="1" t="str">
        <f>Processes!D108</f>
        <v>FT-COMCOA</v>
      </c>
      <c r="C11" s="1" t="str">
        <f>Processes!E108</f>
        <v>Fuel Technology Residential      Coal</v>
      </c>
      <c r="D11" s="1" t="str">
        <f>RIGHT(Commodities!C25,3)</f>
        <v>COA</v>
      </c>
      <c r="E11" s="1" t="str">
        <f>Commodities!C25</f>
        <v>COMCOA</v>
      </c>
      <c r="F11" s="21">
        <v>1</v>
      </c>
      <c r="G11" s="1">
        <v>50</v>
      </c>
      <c r="H11" s="280"/>
      <c r="I11" s="280"/>
    </row>
    <row r="12" spans="2:9">
      <c r="B12" s="1" t="str">
        <f>Processes!D106</f>
        <v>FT-COMWPE</v>
      </c>
      <c r="C12" s="1" t="str">
        <f>Processes!E106</f>
        <v>Fuel Technology Residential      Wood pellets</v>
      </c>
      <c r="D12" s="1" t="str">
        <f>RIGHT(Commodities!C23,3)</f>
        <v>WPE</v>
      </c>
      <c r="E12" s="1" t="str">
        <f>Commodities!C23</f>
        <v>COMWPE</v>
      </c>
      <c r="F12" s="21">
        <v>1</v>
      </c>
      <c r="G12" s="1">
        <v>50</v>
      </c>
      <c r="H12" s="280"/>
      <c r="I12" s="280"/>
    </row>
    <row r="13" spans="2:9">
      <c r="B13" s="1" t="str">
        <f>Processes!D107</f>
        <v>FT-COMFIW</v>
      </c>
      <c r="C13" s="1" t="str">
        <f>Processes!E107</f>
        <v>Fuel Technology Residential      Fire wood</v>
      </c>
      <c r="D13" s="1" t="str">
        <f>RIGHT(Commodities!C24,3)</f>
        <v>FIW</v>
      </c>
      <c r="E13" s="1" t="str">
        <f>Commodities!C24</f>
        <v>COMFIW</v>
      </c>
      <c r="F13" s="21">
        <v>1</v>
      </c>
      <c r="G13" s="1">
        <v>50</v>
      </c>
      <c r="H13" s="280"/>
      <c r="I13" s="280"/>
    </row>
    <row r="14" spans="2:9">
      <c r="B14" s="1" t="str">
        <f>Processes!D108</f>
        <v>FT-COMCOA</v>
      </c>
      <c r="C14" s="1" t="str">
        <f>Processes!E108</f>
        <v>Fuel Technology Residential      Coal</v>
      </c>
      <c r="D14" s="1" t="str">
        <f>RIGHT(Commodities!C25,3)</f>
        <v>COA</v>
      </c>
      <c r="E14" s="1" t="str">
        <f>Commodities!C25</f>
        <v>COMCOA</v>
      </c>
      <c r="F14" s="21">
        <v>1</v>
      </c>
      <c r="G14" s="1">
        <v>50</v>
      </c>
      <c r="H14" s="280"/>
      <c r="I14" s="280"/>
    </row>
    <row r="15" spans="2:9">
      <c r="B15" s="1" t="str">
        <f>Processes!D109</f>
        <v>FT-COMMH2</v>
      </c>
      <c r="C15" s="1" t="str">
        <f>Processes!E109</f>
        <v>Fuel Technology Residential      Hydrogen</v>
      </c>
      <c r="D15" s="1" t="s">
        <v>167</v>
      </c>
      <c r="E15" s="1" t="str">
        <f>Commodities!C26</f>
        <v>COMH2</v>
      </c>
      <c r="F15" s="21">
        <v>1</v>
      </c>
      <c r="G15" s="1">
        <v>50</v>
      </c>
      <c r="H15" s="280"/>
      <c r="I15" s="280"/>
    </row>
    <row r="16" spans="2:9">
      <c r="B16" s="1" t="str">
        <f>Processes!D110</f>
        <v>FT-COMSOL</v>
      </c>
      <c r="C16" s="1" t="str">
        <f>Processes!E110</f>
        <v>Fuel Technology Residential      Solar</v>
      </c>
      <c r="D16" s="1" t="str">
        <f>RIGHT(Commodities!C27,3)</f>
        <v>SOL</v>
      </c>
      <c r="E16" s="1" t="str">
        <f>Commodities!C27</f>
        <v>COMSOL</v>
      </c>
      <c r="F16" s="21">
        <v>1</v>
      </c>
      <c r="G16" s="1">
        <v>50</v>
      </c>
      <c r="H16" s="280"/>
      <c r="I16" s="280"/>
    </row>
    <row r="17" spans="2:9">
      <c r="B17" s="1" t="str">
        <f>Processes!D112</f>
        <v>FT-COMLCH</v>
      </c>
      <c r="C17" s="1" t="str">
        <f>Processes!E112</f>
        <v>Fuel Technology for Residential      Electricity Heating</v>
      </c>
      <c r="D17" s="1" t="str">
        <f>RIGHT(Commodities!C28,3)</f>
        <v>GEO</v>
      </c>
      <c r="E17" s="1" t="str">
        <f>Commodities!C28</f>
        <v>COMGEO</v>
      </c>
      <c r="F17" s="21">
        <v>1</v>
      </c>
      <c r="G17" s="1">
        <v>50</v>
      </c>
      <c r="H17" s="280"/>
      <c r="I17" s="280"/>
    </row>
    <row r="18" spans="2:9">
      <c r="B18" s="1" t="str">
        <f>Processes!D112</f>
        <v>FT-COMLCH</v>
      </c>
      <c r="C18" s="1" t="str">
        <f>Processes!E112</f>
        <v>Fuel Technology for Residential      Electricity Heating</v>
      </c>
      <c r="D18" s="1" t="s">
        <v>821</v>
      </c>
      <c r="E18" s="1" t="str">
        <f>Commodities!C29</f>
        <v>COMELCH</v>
      </c>
      <c r="F18" s="21">
        <v>1</v>
      </c>
      <c r="G18" s="1">
        <v>50</v>
      </c>
      <c r="H18" s="280"/>
      <c r="I18" s="280"/>
    </row>
    <row r="19" spans="2:9">
      <c r="B19" s="1" t="str">
        <f>Processes!D113</f>
        <v>FT-COMLCC</v>
      </c>
      <c r="C19" s="1" t="str">
        <f>Processes!E113</f>
        <v>Fuel Technology for Residential      Electricity Cooling</v>
      </c>
      <c r="D19" s="1" t="s">
        <v>821</v>
      </c>
      <c r="E19" s="1" t="str">
        <f>Commodities!C30</f>
        <v>COMELCC</v>
      </c>
      <c r="F19" s="21">
        <v>1</v>
      </c>
      <c r="G19" s="1">
        <v>50</v>
      </c>
      <c r="H19" s="280"/>
      <c r="I19" s="280"/>
    </row>
    <row r="20" spans="2:9">
      <c r="B20" s="1" t="str">
        <f>Processes!D114</f>
        <v>FT-COMLCA</v>
      </c>
      <c r="C20" s="1" t="str">
        <f>Processes!E114</f>
        <v>Fuel Technology for Residential      Electricity Appliances</v>
      </c>
      <c r="D20" s="1" t="s">
        <v>821</v>
      </c>
      <c r="E20" s="1" t="str">
        <f>Commodities!C31</f>
        <v>COMELCA</v>
      </c>
      <c r="F20" s="21">
        <v>1</v>
      </c>
      <c r="G20" s="1">
        <v>50</v>
      </c>
      <c r="H20" s="280"/>
      <c r="I20" s="280"/>
    </row>
    <row r="21" spans="2:9" s="608" customFormat="1">
      <c r="B21" s="609" t="str">
        <f>Processes!D115</f>
        <v>FT-COMLCO</v>
      </c>
      <c r="C21" s="609" t="str">
        <f>Processes!E115</f>
        <v>Fuel Technology for Residential      Electricity Cooking</v>
      </c>
      <c r="D21" s="609" t="s">
        <v>821</v>
      </c>
      <c r="E21" s="609" t="str">
        <f>Commodities!C32</f>
        <v>COMELCO</v>
      </c>
      <c r="F21" s="610">
        <v>1</v>
      </c>
      <c r="G21" s="609">
        <v>50</v>
      </c>
      <c r="H21" s="611"/>
      <c r="I21" s="611"/>
    </row>
    <row r="22" spans="2:9" s="608" customFormat="1">
      <c r="B22" s="609" t="str">
        <f>Processes!D116</f>
        <v>FT-COMLCW</v>
      </c>
      <c r="C22" s="609" t="str">
        <f>Processes!E116</f>
        <v>Fuel Technology for Residential      Electricity Water Heating</v>
      </c>
      <c r="D22" s="609" t="s">
        <v>821</v>
      </c>
      <c r="E22" s="609" t="str">
        <f>Commodities!C33</f>
        <v>COMELCW</v>
      </c>
      <c r="F22" s="610">
        <v>1</v>
      </c>
      <c r="G22" s="609">
        <v>50</v>
      </c>
      <c r="H22" s="611"/>
      <c r="I22" s="611"/>
    </row>
    <row r="23" spans="2:9">
      <c r="B23" s="1" t="str">
        <f>Processes!D117</f>
        <v>FT-COMHCE</v>
      </c>
      <c r="C23" s="1" t="str">
        <f>Processes!E117</f>
        <v>Fuel Technology Residential      District heating Central</v>
      </c>
      <c r="D23" s="474" t="s">
        <v>819</v>
      </c>
      <c r="E23" s="3" t="str">
        <f>Commodities!C34</f>
        <v>COMHCE</v>
      </c>
      <c r="F23" s="516">
        <v>1</v>
      </c>
      <c r="G23" s="1">
        <v>50</v>
      </c>
      <c r="H23" s="280"/>
      <c r="I23" s="280"/>
    </row>
    <row r="24" spans="2:9">
      <c r="B24" s="187" t="str">
        <f>Processes!D118</f>
        <v>FT-COMHDE</v>
      </c>
      <c r="C24" s="187" t="str">
        <f>Processes!E118</f>
        <v>Fuel Technology Residential      District heating Decentral</v>
      </c>
      <c r="D24" s="475" t="s">
        <v>820</v>
      </c>
      <c r="E24" s="195" t="str">
        <f>Commodities!C36</f>
        <v>COMHDE</v>
      </c>
      <c r="F24" s="517">
        <v>1</v>
      </c>
      <c r="G24" s="187">
        <v>50</v>
      </c>
      <c r="H24" s="281"/>
      <c r="I24" s="281"/>
    </row>
    <row r="25" spans="2:9">
      <c r="B25" s="1" t="str">
        <f>Processes!D119</f>
        <v>FT-COMSNG</v>
      </c>
      <c r="C25" s="1" t="str">
        <f>Processes!E119</f>
        <v>Fuel Technology Residential      Synthetic Natural Gas</v>
      </c>
      <c r="D25" t="str">
        <f>RIGHT(Commodities!C37,3)&amp;"1"</f>
        <v>SNG1</v>
      </c>
      <c r="E25" t="str">
        <f>Commodities!C37</f>
        <v>COMSNG</v>
      </c>
      <c r="F25" s="21">
        <v>1</v>
      </c>
      <c r="G25">
        <v>50</v>
      </c>
    </row>
    <row r="26" spans="2:9">
      <c r="B26" s="1"/>
      <c r="C26" s="1"/>
      <c r="D26" t="str">
        <f>RIGHT(Commodities!C37,3)&amp;"2"</f>
        <v>SNG2</v>
      </c>
      <c r="F26" s="21"/>
    </row>
    <row r="27" spans="2:9">
      <c r="B27" s="1"/>
      <c r="C27" s="1"/>
      <c r="D27" t="s">
        <v>741</v>
      </c>
      <c r="F27" s="21"/>
    </row>
    <row r="28" spans="2:9">
      <c r="B28" s="1" t="str">
        <f>Processes!D120</f>
        <v>FT-COMDSB</v>
      </c>
      <c r="C28" s="1" t="str">
        <f>Processes!E120</f>
        <v>Fuel Technology Residential      Renewable Diesel</v>
      </c>
      <c r="D28" t="str">
        <f>RIGHT(Commodities!C38,3)&amp;"1"</f>
        <v>DSB1</v>
      </c>
      <c r="E28" t="str">
        <f>Commodities!C38</f>
        <v>COMDSB</v>
      </c>
      <c r="F28" s="21">
        <v>1</v>
      </c>
      <c r="G28">
        <v>50</v>
      </c>
      <c r="H28" s="1"/>
      <c r="I28" s="3"/>
    </row>
    <row r="29" spans="2:9">
      <c r="D29" t="str">
        <f>RIGHT(Commodities!C38,3)&amp;"2"</f>
        <v>DSB2</v>
      </c>
      <c r="F29" s="21"/>
    </row>
    <row r="30" spans="2:9">
      <c r="B30" s="6"/>
      <c r="D30" s="4" t="s">
        <v>742</v>
      </c>
      <c r="E30" s="34"/>
      <c r="F30" s="30"/>
    </row>
    <row r="31" spans="2:9">
      <c r="B31" s="6"/>
      <c r="D31" s="4"/>
      <c r="E31" s="34"/>
      <c r="F31" s="30"/>
    </row>
    <row r="32" spans="2:9" ht="13">
      <c r="H32" s="132"/>
      <c r="I32" s="290"/>
    </row>
    <row r="33" spans="9:9" ht="14.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D1" zoomScale="90" zoomScaleNormal="90" workbookViewId="0">
      <selection activeCell="Q22" sqref="Q22"/>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4" t="s">
        <v>264</v>
      </c>
      <c r="C2" s="227"/>
      <c r="D2" s="228"/>
      <c r="E2" s="229" t="s">
        <v>162</v>
      </c>
      <c r="F2" s="229"/>
      <c r="G2" s="271">
        <v>1.02</v>
      </c>
      <c r="H2" s="271"/>
      <c r="I2" s="271"/>
      <c r="J2" s="230"/>
      <c r="K2" s="230"/>
      <c r="L2" s="634" t="s">
        <v>875</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174</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7" t="s">
        <v>956</v>
      </c>
      <c r="W4" s="438" t="s">
        <v>969</v>
      </c>
      <c r="X4" s="439" t="s">
        <v>972</v>
      </c>
      <c r="Y4" s="437" t="s">
        <v>956</v>
      </c>
      <c r="Z4" s="438" t="s">
        <v>969</v>
      </c>
      <c r="AA4" s="439" t="s">
        <v>972</v>
      </c>
    </row>
    <row r="5" spans="2:31" ht="26">
      <c r="B5" s="238" t="s">
        <v>2</v>
      </c>
      <c r="C5" s="238" t="s">
        <v>26</v>
      </c>
      <c r="D5" s="238" t="s">
        <v>14</v>
      </c>
      <c r="E5" s="238" t="s">
        <v>15</v>
      </c>
      <c r="F5" s="422" t="s">
        <v>94</v>
      </c>
      <c r="G5" s="239" t="s">
        <v>944</v>
      </c>
      <c r="H5" s="239" t="s">
        <v>957</v>
      </c>
      <c r="I5" s="239" t="s">
        <v>973</v>
      </c>
      <c r="J5" s="240" t="s">
        <v>952</v>
      </c>
      <c r="K5" s="240" t="s">
        <v>965</v>
      </c>
      <c r="L5" s="240" t="s">
        <v>974</v>
      </c>
      <c r="M5" s="238" t="s">
        <v>0</v>
      </c>
      <c r="N5" s="238" t="s">
        <v>165</v>
      </c>
      <c r="O5" s="239" t="s">
        <v>93</v>
      </c>
      <c r="P5" s="227"/>
      <c r="Q5" s="227"/>
      <c r="R5" s="227"/>
      <c r="S5" s="227"/>
      <c r="T5" s="227"/>
      <c r="U5" s="227"/>
      <c r="V5" s="273" t="s">
        <v>75</v>
      </c>
      <c r="W5" s="272" t="s">
        <v>75</v>
      </c>
      <c r="X5" s="440" t="s">
        <v>75</v>
      </c>
      <c r="Y5" s="273" t="s">
        <v>71</v>
      </c>
      <c r="Z5" s="272" t="s">
        <v>71</v>
      </c>
      <c r="AA5" s="440" t="s">
        <v>71</v>
      </c>
    </row>
    <row r="6" spans="2:31" ht="21.5" thickBot="1">
      <c r="B6" s="242" t="s">
        <v>27</v>
      </c>
      <c r="C6" s="242"/>
      <c r="D6" s="242"/>
      <c r="E6" s="242"/>
      <c r="F6" s="243"/>
      <c r="G6" s="243" t="s">
        <v>65</v>
      </c>
      <c r="H6" s="243" t="s">
        <v>65</v>
      </c>
      <c r="I6" s="243" t="s">
        <v>65</v>
      </c>
      <c r="J6" s="243" t="s">
        <v>69</v>
      </c>
      <c r="K6" s="243" t="s">
        <v>69</v>
      </c>
      <c r="L6" s="243" t="s">
        <v>69</v>
      </c>
      <c r="M6" s="242"/>
      <c r="N6" s="242" t="s">
        <v>756</v>
      </c>
      <c r="O6" s="242" t="s">
        <v>94</v>
      </c>
      <c r="P6" s="227"/>
      <c r="Q6" s="227"/>
      <c r="R6" s="227"/>
      <c r="S6" s="227"/>
      <c r="T6" s="227"/>
      <c r="U6" s="227" t="s">
        <v>94</v>
      </c>
      <c r="V6" s="275" t="s">
        <v>48</v>
      </c>
      <c r="W6" s="458" t="s">
        <v>48</v>
      </c>
      <c r="X6" s="441" t="s">
        <v>48</v>
      </c>
      <c r="Y6" s="275" t="s">
        <v>70</v>
      </c>
      <c r="Z6" s="274" t="s">
        <v>70</v>
      </c>
      <c r="AA6" s="441" t="s">
        <v>70</v>
      </c>
    </row>
    <row r="7" spans="2:31" ht="14.5">
      <c r="B7" s="233" t="str">
        <f>Processes!D39</f>
        <v>CFTLPGE1</v>
      </c>
      <c r="C7" s="233" t="str">
        <f>Processes!E39</f>
        <v>Residential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3">
        <v>0.5</v>
      </c>
      <c r="K7" s="463">
        <v>0.5</v>
      </c>
      <c r="L7" s="463">
        <v>0.5</v>
      </c>
      <c r="M7" s="244">
        <f t="shared" ref="M7:M22" si="2">31.536/1000</f>
        <v>3.1536000000000002E-2</v>
      </c>
      <c r="N7" s="459">
        <v>1</v>
      </c>
      <c r="O7" s="245">
        <v>30</v>
      </c>
      <c r="P7" s="227"/>
      <c r="Q7" s="268"/>
      <c r="R7" s="268" t="str">
        <f>B2</f>
        <v>Cooking</v>
      </c>
      <c r="S7" s="594" t="s">
        <v>838</v>
      </c>
      <c r="T7" s="246" t="s">
        <v>168</v>
      </c>
      <c r="U7" s="246">
        <v>2010</v>
      </c>
      <c r="V7" s="433" cm="1">
        <f t="array" ref="V7">_xlfn.IFNA(INDEX('Data manipulation'!$C$23:$N$128,MATCH($S7&amp;$R7,'Data manipulation'!$B$23:$B$128&amp;'Data manipulation'!$A$23:$A$128,0),MATCH($U7,'Data manipulation'!$C$22:$N$22,0))/1000,0)*SUMIFS('Regional split'!$F$4:$F$6,'Regional split'!$B$4:$B$6,V$4)</f>
        <v>0</v>
      </c>
      <c r="W7" s="433" cm="1">
        <f t="array" ref="W7">_xlfn.IFNA(INDEX('Data manipulation'!$C$23:$N$128,MATCH($S7&amp;$R7,'Data manipulation'!$B$23:$B$128&amp;'Data manipulation'!$A$23:$A$128,0),MATCH($U7,'Data manipulation'!$C$22:$N$22,0))/1000,0)*SUMIFS('Regional split'!$F$4:$F$6,'Regional split'!$B$4:$B$6,W$4)</f>
        <v>0</v>
      </c>
      <c r="X7" s="433" cm="1">
        <f t="array" ref="X7">_xlfn.IFNA(INDEX('Data manipulation'!$C$23:$N$128,MATCH($S7&amp;$R7,'Data manipulation'!$B$23:$B$128&amp;'Data manipulation'!$A$23:$A$128,0),MATCH($U7,'Data manipulation'!$C$22:$N$22,0))/1000,0)*SUMIFS('Regional split'!$F$4:$F$6,'Regional split'!$B$4:$B$6,X$4)</f>
        <v>0</v>
      </c>
      <c r="Y7" s="444">
        <f t="shared" ref="Y7:Z16" si="3">V7*J7</f>
        <v>0</v>
      </c>
      <c r="Z7" s="566">
        <f t="shared" si="3"/>
        <v>0</v>
      </c>
      <c r="AA7" s="445">
        <f t="shared" ref="AA7" si="4">X7*L7</f>
        <v>0</v>
      </c>
      <c r="AC7" s="564"/>
      <c r="AD7" s="565"/>
      <c r="AE7" s="565"/>
    </row>
    <row r="8" spans="2:31" ht="15" customHeight="1">
      <c r="B8" s="233" t="str">
        <f>Processes!D40</f>
        <v>CFTNGAE1</v>
      </c>
      <c r="C8" s="233" t="str">
        <f>Processes!E40</f>
        <v>Residential Food (Cooking) Technology   - Natural Gas - Existing 1</v>
      </c>
      <c r="D8" s="230" t="str">
        <f>Commodities!$C$18</f>
        <v>COMNGA</v>
      </c>
      <c r="E8" s="230" t="str">
        <f>Commodities!$C$17</f>
        <v>CFDEM</v>
      </c>
      <c r="F8" s="259">
        <v>2010</v>
      </c>
      <c r="G8" s="250">
        <f t="shared" si="0"/>
        <v>0</v>
      </c>
      <c r="H8" s="250">
        <f t="shared" si="0"/>
        <v>0</v>
      </c>
      <c r="I8" s="250">
        <f t="shared" si="1"/>
        <v>0</v>
      </c>
      <c r="J8" s="463">
        <v>0.5</v>
      </c>
      <c r="K8" s="463">
        <v>0.5</v>
      </c>
      <c r="L8" s="463">
        <v>0.5</v>
      </c>
      <c r="M8" s="244">
        <f t="shared" si="2"/>
        <v>3.1536000000000002E-2</v>
      </c>
      <c r="N8" s="459">
        <v>1</v>
      </c>
      <c r="O8" s="245">
        <v>30</v>
      </c>
      <c r="P8" s="227"/>
      <c r="Q8" s="268"/>
      <c r="R8" s="268" t="str">
        <f>R7</f>
        <v>Cooking</v>
      </c>
      <c r="S8" s="227" t="s">
        <v>74</v>
      </c>
      <c r="T8" s="246" t="s">
        <v>168</v>
      </c>
      <c r="U8" s="246">
        <v>2010</v>
      </c>
      <c r="V8" s="433" cm="1">
        <f t="array" ref="V8">_xlfn.IFNA(INDEX('Data manipulation'!$C$23:$N$128,MATCH($S8&amp;$R8,'Data manipulation'!$B$23:$B$128&amp;'Data manipulation'!$A$23:$A$128,0),MATCH($U8,'Data manipulation'!$C$22:$N$22,0))/1000,0)*SUMIFS('Regional split'!$F$4:$F$6,'Regional split'!$B$4:$B$6,V$4)</f>
        <v>0</v>
      </c>
      <c r="W8" s="433" cm="1">
        <f t="array" ref="W8">_xlfn.IFNA(INDEX('Data manipulation'!$C$23:$N$128,MATCH($S8&amp;$R8,'Data manipulation'!$B$23:$B$128&amp;'Data manipulation'!$A$23:$A$128,0),MATCH($U8,'Data manipulation'!$C$22:$N$22,0))/1000,0)*SUMIFS('Regional split'!$F$4:$F$6,'Regional split'!$B$4:$B$6,W$4)</f>
        <v>0</v>
      </c>
      <c r="X8" s="433" cm="1">
        <f t="array" ref="X8">_xlfn.IFNA(INDEX('Data manipulation'!$C$23:$N$128,MATCH($S8&amp;$R8,'Data manipulation'!$B$23:$B$128&amp;'Data manipulation'!$A$23:$A$128,0),MATCH($U8,'Data manipulation'!$C$22:$N$22,0))/1000,0)*SUMIFS('Regional split'!$F$4:$F$6,'Regional split'!$B$4:$B$6,X$4)</f>
        <v>0</v>
      </c>
      <c r="Y8" s="444">
        <f t="shared" si="3"/>
        <v>0</v>
      </c>
      <c r="Z8" s="566">
        <f t="shared" si="3"/>
        <v>0</v>
      </c>
      <c r="AA8" s="445">
        <f>X8*L8</f>
        <v>0</v>
      </c>
      <c r="AC8" s="564"/>
      <c r="AD8" s="565"/>
      <c r="AE8" s="565"/>
    </row>
    <row r="9" spans="2:31" ht="15" customHeight="1">
      <c r="B9" s="233" t="str">
        <f>Processes!D41</f>
        <v>CFTELCOE1</v>
      </c>
      <c r="C9" s="233" t="str">
        <f>Processes!E41</f>
        <v>Residential Food (Cooking) Technology   - Electricity Cooking - Existing 1</v>
      </c>
      <c r="D9" s="230" t="str">
        <f>Commodities!$C$32</f>
        <v>COMELCO</v>
      </c>
      <c r="E9" s="230" t="str">
        <f>Commodities!$C$17</f>
        <v>CFDEM</v>
      </c>
      <c r="F9" s="259">
        <v>2010</v>
      </c>
      <c r="G9" s="250">
        <f t="shared" si="0"/>
        <v>0</v>
      </c>
      <c r="H9" s="250">
        <f t="shared" si="0"/>
        <v>0</v>
      </c>
      <c r="I9" s="250">
        <f t="shared" ref="I9" si="5">ROUNDUP(AA9/($M9*$N9)*$G$2,2)</f>
        <v>0</v>
      </c>
      <c r="J9" s="631">
        <v>0.95</v>
      </c>
      <c r="K9" s="631">
        <v>0.95</v>
      </c>
      <c r="L9" s="631">
        <v>0.95</v>
      </c>
      <c r="M9" s="244">
        <f t="shared" si="2"/>
        <v>3.1536000000000002E-2</v>
      </c>
      <c r="N9" s="459">
        <v>1</v>
      </c>
      <c r="O9" s="245">
        <v>30</v>
      </c>
      <c r="P9" s="227"/>
      <c r="Q9" s="268"/>
      <c r="R9" s="268" t="str">
        <f>R8</f>
        <v>Cooking</v>
      </c>
      <c r="S9" s="227" t="s">
        <v>73</v>
      </c>
      <c r="T9" s="246" t="s">
        <v>73</v>
      </c>
      <c r="U9" s="246">
        <v>2010</v>
      </c>
      <c r="V9" s="433" cm="1">
        <f t="array" ref="V9">_xlfn.IFNA(INDEX('Data manipulation'!$C$23:$N$128,MATCH($S9&amp;$R9,'Data manipulation'!$B$23:$B$128&amp;'Data manipulation'!$A$23:$A$128,0),MATCH($U9,'Data manipulation'!$C$22:$N$22,0))/1000,0)*SUMIFS('Regional split'!$F$4:$F$6,'Regional split'!$B$4:$B$6,V$4)</f>
        <v>0</v>
      </c>
      <c r="W9" s="433" cm="1">
        <f t="array" ref="W9">_xlfn.IFNA(INDEX('Data manipulation'!$C$23:$N$128,MATCH($S9&amp;$R9,'Data manipulation'!$B$23:$B$128&amp;'Data manipulation'!$A$23:$A$128,0),MATCH($U9,'Data manipulation'!$C$22:$N$22,0))/1000,0)*SUMIFS('Regional split'!$F$4:$F$6,'Regional split'!$B$4:$B$6,W$4)</f>
        <v>0</v>
      </c>
      <c r="X9" s="433" cm="1">
        <f t="array" ref="X9">_xlfn.IFNA(INDEX('Data manipulation'!$C$23:$N$128,MATCH($S9&amp;$R9,'Data manipulation'!$B$23:$B$128&amp;'Data manipulation'!$A$23:$A$128,0),MATCH($U9,'Data manipulation'!$C$22:$N$22,0))/1000,0)*SUMIFS('Regional split'!$F$4:$F$6,'Regional split'!$B$4:$B$6,X$4)</f>
        <v>0</v>
      </c>
      <c r="Y9" s="444">
        <f t="shared" ref="Y9" si="6">V9*J9</f>
        <v>0</v>
      </c>
      <c r="Z9" s="566">
        <f t="shared" ref="Z9" si="7">W9*K9</f>
        <v>0</v>
      </c>
      <c r="AA9" s="445">
        <f>X9*L9</f>
        <v>0</v>
      </c>
      <c r="AC9" s="564"/>
      <c r="AD9" s="565"/>
      <c r="AE9" s="565"/>
    </row>
    <row r="10" spans="2:31" ht="15" customHeight="1">
      <c r="B10" s="233" t="str">
        <f>Processes!D42</f>
        <v>CFTFIWE1</v>
      </c>
      <c r="C10" s="233" t="str">
        <f>Processes!E42</f>
        <v>Residential Food (Cooking) Technology   - Fire wood - Existing 1</v>
      </c>
      <c r="D10" s="230" t="str">
        <f>Commodities!$C$24</f>
        <v>COMFIW</v>
      </c>
      <c r="E10" s="230" t="str">
        <f>Commodities!$C$17</f>
        <v>CFDEM</v>
      </c>
      <c r="F10" s="259">
        <v>2010</v>
      </c>
      <c r="G10" s="250">
        <f t="shared" ref="G10" si="8">ROUNDUP(Y10/($M10*$N10)*$G$2,2)</f>
        <v>0</v>
      </c>
      <c r="H10" s="250">
        <f t="shared" ref="H10" si="9">ROUNDUP(Z10/($M10*$N10)*$G$2,2)</f>
        <v>0</v>
      </c>
      <c r="I10" s="250">
        <f t="shared" ref="I10" si="10">ROUNDUP(AA10/($M10*$N10)*$G$2,2)</f>
        <v>0</v>
      </c>
      <c r="J10" s="633">
        <v>0.25600000000000001</v>
      </c>
      <c r="K10" s="633">
        <v>0.25600000000000001</v>
      </c>
      <c r="L10" s="633">
        <v>0.25600000000000001</v>
      </c>
      <c r="M10" s="244">
        <f t="shared" si="2"/>
        <v>3.1536000000000002E-2</v>
      </c>
      <c r="N10" s="459">
        <v>1</v>
      </c>
      <c r="O10" s="245">
        <v>30</v>
      </c>
      <c r="P10" s="227"/>
      <c r="Q10" s="268"/>
      <c r="R10" s="268" t="str">
        <f>R9</f>
        <v>Cooking</v>
      </c>
      <c r="S10" s="584" t="s">
        <v>835</v>
      </c>
      <c r="T10" s="246" t="s">
        <v>874</v>
      </c>
      <c r="U10" s="246">
        <v>2010</v>
      </c>
      <c r="V10" s="433" cm="1">
        <f t="array" ref="V10">_xlfn.IFNA(INDEX('Data manipulation'!$C$23:$N$128,MATCH($S10&amp;$R10,'Data manipulation'!$B$23:$B$128&amp;'Data manipulation'!$A$23:$A$128,0),MATCH($U10,'Data manipulation'!$C$22:$N$22,0))/1000,0)*SUMIFS('Regional split'!$F$4:$F$6,'Regional split'!$B$4:$B$6,V$4)</f>
        <v>0</v>
      </c>
      <c r="W10" s="433" cm="1">
        <f t="array" ref="W10">_xlfn.IFNA(INDEX('Data manipulation'!$C$23:$N$128,MATCH($S10&amp;$R10,'Data manipulation'!$B$23:$B$128&amp;'Data manipulation'!$A$23:$A$128,0),MATCH($U10,'Data manipulation'!$C$22:$N$22,0))/1000,0)*SUMIFS('Regional split'!$F$4:$F$6,'Regional split'!$B$4:$B$6,W$4)</f>
        <v>0</v>
      </c>
      <c r="X10" s="433" cm="1">
        <f t="array" ref="X10">_xlfn.IFNA(INDEX('Data manipulation'!$C$23:$N$128,MATCH($S10&amp;$R10,'Data manipulation'!$B$23:$B$128&amp;'Data manipulation'!$A$23:$A$128,0),MATCH($U10,'Data manipulation'!$C$22:$N$22,0))/1000,0)*SUMIFS('Regional split'!$F$4:$F$6,'Regional split'!$B$4:$B$6,X$4)</f>
        <v>0</v>
      </c>
      <c r="Y10" s="444">
        <f t="shared" ref="Y10" si="11">V10*J10</f>
        <v>0</v>
      </c>
      <c r="Z10" s="566">
        <f t="shared" ref="Z10" si="12">W10*K10</f>
        <v>0</v>
      </c>
      <c r="AA10" s="445">
        <f>X10*L10</f>
        <v>0</v>
      </c>
      <c r="AC10" s="564"/>
      <c r="AD10" s="565"/>
      <c r="AE10" s="565"/>
    </row>
    <row r="11" spans="2:31" ht="14.5">
      <c r="B11" s="233" t="str">
        <f t="shared" ref="B11:E13" si="13">B7</f>
        <v>CFTLPGE1</v>
      </c>
      <c r="C11" s="233" t="str">
        <f t="shared" si="13"/>
        <v>Residential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31">
        <f t="shared" ref="J11:L13" si="15">J7</f>
        <v>0.5</v>
      </c>
      <c r="K11" s="631">
        <f t="shared" si="15"/>
        <v>0.5</v>
      </c>
      <c r="L11" s="631">
        <f t="shared" si="15"/>
        <v>0.5</v>
      </c>
      <c r="M11" s="244">
        <f t="shared" si="2"/>
        <v>3.1536000000000002E-2</v>
      </c>
      <c r="N11" s="459">
        <v>0.8</v>
      </c>
      <c r="O11" s="245">
        <v>30</v>
      </c>
      <c r="P11" s="227"/>
      <c r="Q11" s="227"/>
      <c r="R11" s="268" t="str">
        <f>R7</f>
        <v>Cooking</v>
      </c>
      <c r="S11" s="594" t="s">
        <v>838</v>
      </c>
      <c r="T11" s="246" t="s">
        <v>168</v>
      </c>
      <c r="U11" s="246">
        <v>2015</v>
      </c>
      <c r="V11" s="433" cm="1">
        <f t="array" ref="V11">_xlfn.IFNA(INDEX('Data manipulation'!$C$23:$N$128,MATCH($S11&amp;$R11,'Data manipulation'!$B$23:$B$128&amp;'Data manipulation'!$A$23:$A$128,0),MATCH($U11,'Data manipulation'!$C$22:$N$22,0))/1000,0)*SUMIFS('Regional split'!$F$4:$F$6,'Regional split'!$B$4:$B$6,V$4)</f>
        <v>0</v>
      </c>
      <c r="W11" s="433" cm="1">
        <f t="array" ref="W11">_xlfn.IFNA(INDEX('Data manipulation'!$C$23:$N$128,MATCH($S11&amp;$R11,'Data manipulation'!$B$23:$B$128&amp;'Data manipulation'!$A$23:$A$128,0),MATCH($U11,'Data manipulation'!$C$22:$N$22,0))/1000,0)*SUMIFS('Regional split'!$F$4:$F$6,'Regional split'!$B$4:$B$6,W$4)</f>
        <v>0</v>
      </c>
      <c r="X11" s="433" cm="1">
        <f t="array" ref="X11">_xlfn.IFNA(INDEX('Data manipulation'!$C$23:$N$128,MATCH($S11&amp;$R11,'Data manipulation'!$B$23:$B$128&amp;'Data manipulation'!$A$23:$A$128,0),MATCH($U11,'Data manipulation'!$C$22:$N$22,0))/1000,0)*SUMIFS('Regional split'!$F$4:$F$6,'Regional split'!$B$4:$B$6,X$4)</f>
        <v>0</v>
      </c>
      <c r="Y11" s="444">
        <f>V11*J11</f>
        <v>0</v>
      </c>
      <c r="Z11" s="251">
        <f t="shared" si="3"/>
        <v>0</v>
      </c>
      <c r="AA11" s="445">
        <f t="shared" ref="AA11:AA12" si="16">X11*L11</f>
        <v>0</v>
      </c>
    </row>
    <row r="12" spans="2:31" ht="14.5">
      <c r="B12" s="233" t="str">
        <f t="shared" si="13"/>
        <v>CFTNGAE1</v>
      </c>
      <c r="C12" s="233" t="str">
        <f t="shared" si="13"/>
        <v>Residential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31">
        <f t="shared" si="15"/>
        <v>0.5</v>
      </c>
      <c r="K12" s="631">
        <f t="shared" si="15"/>
        <v>0.5</v>
      </c>
      <c r="L12" s="631">
        <f t="shared" si="15"/>
        <v>0.5</v>
      </c>
      <c r="M12" s="244">
        <f t="shared" si="2"/>
        <v>3.1536000000000002E-2</v>
      </c>
      <c r="N12" s="459">
        <v>0.8</v>
      </c>
      <c r="O12" s="245">
        <v>30</v>
      </c>
      <c r="P12" s="227"/>
      <c r="Q12" s="227"/>
      <c r="R12" s="268" t="str">
        <f>R8</f>
        <v>Cooking</v>
      </c>
      <c r="S12" s="227" t="s">
        <v>74</v>
      </c>
      <c r="T12" s="246" t="s">
        <v>168</v>
      </c>
      <c r="U12" s="246">
        <v>2015</v>
      </c>
      <c r="V12" s="433" cm="1">
        <f t="array" ref="V12">_xlfn.IFNA(INDEX('Data manipulation'!$C$23:$N$128,MATCH($S12&amp;$R12,'Data manipulation'!$B$23:$B$128&amp;'Data manipulation'!$A$23:$A$128,0),MATCH($U12,'Data manipulation'!$C$22:$N$22,0))/1000,0)*SUMIFS('Regional split'!$F$4:$F$6,'Regional split'!$B$4:$B$6,V$4)</f>
        <v>1.8784504554723662</v>
      </c>
      <c r="W12" s="433" cm="1">
        <f t="array" ref="W12">_xlfn.IFNA(INDEX('Data manipulation'!$C$23:$N$128,MATCH($S12&amp;$R12,'Data manipulation'!$B$23:$B$128&amp;'Data manipulation'!$A$23:$A$128,0),MATCH($U12,'Data manipulation'!$C$22:$N$22,0))/1000,0)*SUMIFS('Regional split'!$F$4:$F$6,'Regional split'!$B$4:$B$6,W$4)</f>
        <v>0</v>
      </c>
      <c r="X12" s="433" cm="1">
        <f t="array" ref="X12">_xlfn.IFNA(INDEX('Data manipulation'!$C$23:$N$128,MATCH($S12&amp;$R12,'Data manipulation'!$B$23:$B$128&amp;'Data manipulation'!$A$23:$A$128,0),MATCH($U12,'Data manipulation'!$C$22:$N$22,0))/1000,0)*SUMIFS('Regional split'!$F$4:$F$6,'Regional split'!$B$4:$B$6,X$4)</f>
        <v>0</v>
      </c>
      <c r="Y12" s="444">
        <f t="shared" ref="Y12" si="17">V12*J12</f>
        <v>0.93922522773618311</v>
      </c>
      <c r="Z12" s="251">
        <f t="shared" si="3"/>
        <v>0</v>
      </c>
      <c r="AA12" s="445">
        <f t="shared" si="16"/>
        <v>0</v>
      </c>
    </row>
    <row r="13" spans="2:31" ht="14.5">
      <c r="B13" s="233" t="str">
        <f t="shared" si="13"/>
        <v>CFTELCOE1</v>
      </c>
      <c r="C13" s="233" t="str">
        <f t="shared" si="13"/>
        <v>Residential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31">
        <f t="shared" si="15"/>
        <v>0.95</v>
      </c>
      <c r="K13" s="631">
        <f t="shared" si="15"/>
        <v>0.95</v>
      </c>
      <c r="L13" s="631">
        <f t="shared" si="15"/>
        <v>0.95</v>
      </c>
      <c r="M13" s="244">
        <f t="shared" si="2"/>
        <v>3.1536000000000002E-2</v>
      </c>
      <c r="N13" s="459">
        <v>0.8</v>
      </c>
      <c r="O13" s="245">
        <v>30</v>
      </c>
      <c r="P13" s="227"/>
      <c r="Q13" s="227"/>
      <c r="R13" s="268" t="str">
        <f>R9</f>
        <v>Cooking</v>
      </c>
      <c r="S13" s="227" t="s">
        <v>73</v>
      </c>
      <c r="T13" s="246" t="s">
        <v>73</v>
      </c>
      <c r="U13" s="246">
        <v>2015</v>
      </c>
      <c r="V13" s="433" cm="1">
        <f t="array" ref="V13">_xlfn.IFNA(INDEX('Data manipulation'!$C$23:$N$128,MATCH($S13&amp;$R13,'Data manipulation'!$B$23:$B$128&amp;'Data manipulation'!$A$23:$A$128,0),MATCH($U13,'Data manipulation'!$C$22:$N$22,0))/1000,0)*SUMIFS('Regional split'!$F$4:$F$6,'Regional split'!$B$4:$B$6,V$4)</f>
        <v>154.8813545931061</v>
      </c>
      <c r="W13" s="433" cm="1">
        <f t="array" ref="W13">_xlfn.IFNA(INDEX('Data manipulation'!$C$23:$N$128,MATCH($S13&amp;$R13,'Data manipulation'!$B$23:$B$128&amp;'Data manipulation'!$A$23:$A$128,0),MATCH($U13,'Data manipulation'!$C$22:$N$22,0))/1000,0)*SUMIFS('Regional split'!$F$4:$F$6,'Regional split'!$B$4:$B$6,W$4)</f>
        <v>0</v>
      </c>
      <c r="X13" s="433" cm="1">
        <f t="array" ref="X13">_xlfn.IFNA(INDEX('Data manipulation'!$C$23:$N$128,MATCH($S13&amp;$R13,'Data manipulation'!$B$23:$B$128&amp;'Data manipulation'!$A$23:$A$128,0),MATCH($U13,'Data manipulation'!$C$22:$N$22,0))/1000,0)*SUMIFS('Regional split'!$F$4:$F$6,'Regional split'!$B$4:$B$6,X$4)</f>
        <v>0</v>
      </c>
      <c r="Y13" s="444">
        <f t="shared" ref="Y13:Y14" si="18">V13*J13</f>
        <v>147.13728686345078</v>
      </c>
      <c r="Z13" s="251">
        <f t="shared" ref="Z13:Z14" si="19">W13*K13</f>
        <v>0</v>
      </c>
      <c r="AA13" s="445">
        <f t="shared" ref="AA13" si="20">X13*L13</f>
        <v>0</v>
      </c>
    </row>
    <row r="14" spans="2:31" ht="15" customHeight="1">
      <c r="B14" s="233" t="str">
        <f>Processes!D42</f>
        <v>CFTFIWE1</v>
      </c>
      <c r="C14" s="233" t="str">
        <f>Processes!E42</f>
        <v>Residential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33">
        <v>0.25600000000000001</v>
      </c>
      <c r="K14" s="633">
        <v>0.25600000000000001</v>
      </c>
      <c r="L14" s="633">
        <v>0.25600000000000001</v>
      </c>
      <c r="M14" s="244">
        <f t="shared" si="2"/>
        <v>3.1536000000000002E-2</v>
      </c>
      <c r="N14" s="459">
        <v>1</v>
      </c>
      <c r="O14" s="245">
        <v>30</v>
      </c>
      <c r="P14" s="227"/>
      <c r="Q14" s="268"/>
      <c r="R14" s="268" t="str">
        <f>R13</f>
        <v>Cooking</v>
      </c>
      <c r="S14" s="584" t="s">
        <v>835</v>
      </c>
      <c r="T14" s="246" t="s">
        <v>874</v>
      </c>
      <c r="U14" s="246">
        <v>2015</v>
      </c>
      <c r="V14" s="433" cm="1">
        <f t="array" ref="V14">_xlfn.IFNA(INDEX('Data manipulation'!$C$23:$N$128,MATCH($S14&amp;$R14,'Data manipulation'!$B$23:$B$128&amp;'Data manipulation'!$A$23:$A$128,0),MATCH($U14,'Data manipulation'!$C$22:$N$22,0))/1000,0)*SUMIFS('Regional split'!$F$4:$F$6,'Regional split'!$B$4:$B$6,V$4)</f>
        <v>1.635301169212503</v>
      </c>
      <c r="W14" s="433" cm="1">
        <f t="array" ref="W14">_xlfn.IFNA(INDEX('Data manipulation'!$C$23:$N$128,MATCH($S14&amp;$R14,'Data manipulation'!$B$23:$B$128&amp;'Data manipulation'!$A$23:$A$128,0),MATCH($U14,'Data manipulation'!$C$22:$N$22,0))/1000,0)*SUMIFS('Regional split'!$F$4:$F$6,'Regional split'!$B$4:$B$6,W$4)</f>
        <v>0</v>
      </c>
      <c r="X14" s="433" cm="1">
        <f t="array" ref="X14">_xlfn.IFNA(INDEX('Data manipulation'!$C$23:$N$128,MATCH($S14&amp;$R14,'Data manipulation'!$B$23:$B$128&amp;'Data manipulation'!$A$23:$A$128,0),MATCH($U14,'Data manipulation'!$C$22:$N$22,0))/1000,0)*SUMIFS('Regional split'!$F$4:$F$6,'Regional split'!$B$4:$B$6,X$4)</f>
        <v>0</v>
      </c>
      <c r="Y14" s="444">
        <f t="shared" si="18"/>
        <v>0.41863709931840076</v>
      </c>
      <c r="Z14" s="566">
        <f t="shared" si="19"/>
        <v>0</v>
      </c>
      <c r="AA14" s="445">
        <f>X14*L14</f>
        <v>0</v>
      </c>
      <c r="AC14" s="564"/>
      <c r="AD14" s="565"/>
      <c r="AE14" s="565"/>
    </row>
    <row r="15" spans="2:31" ht="14.5">
      <c r="B15" s="233" t="str">
        <f t="shared" ref="B15:E17" si="24">B7</f>
        <v>CFTLPGE1</v>
      </c>
      <c r="C15" s="233" t="str">
        <f t="shared" si="24"/>
        <v>Residential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31">
        <f t="shared" ref="J15:L17" si="27">J7</f>
        <v>0.5</v>
      </c>
      <c r="K15" s="631">
        <f t="shared" si="27"/>
        <v>0.5</v>
      </c>
      <c r="L15" s="631">
        <f t="shared" si="27"/>
        <v>0.5</v>
      </c>
      <c r="M15" s="244">
        <f t="shared" si="2"/>
        <v>3.1536000000000002E-2</v>
      </c>
      <c r="N15" s="459">
        <v>1</v>
      </c>
      <c r="O15" s="245">
        <v>30</v>
      </c>
      <c r="P15" s="227"/>
      <c r="Q15" s="227"/>
      <c r="R15" s="268" t="str">
        <f>R8</f>
        <v>Cooking</v>
      </c>
      <c r="S15" s="594" t="s">
        <v>838</v>
      </c>
      <c r="T15" s="246" t="s">
        <v>168</v>
      </c>
      <c r="U15" s="246">
        <v>2018</v>
      </c>
      <c r="V15" s="433" cm="1">
        <f t="array" ref="V15">_xlfn.IFNA(INDEX('Data manipulation'!$C$23:$N$128,MATCH($S15&amp;$R15,'Data manipulation'!$B$23:$B$128&amp;'Data manipulation'!$A$23:$A$128,0),MATCH($U15,'Data manipulation'!$C$22:$N$22,0))/1000,0)*SUMIFS('Regional split'!$F$4:$F$6,'Regional split'!$B$4:$B$6,V$4)</f>
        <v>0</v>
      </c>
      <c r="W15" s="433" cm="1">
        <f t="array" ref="W15">_xlfn.IFNA(INDEX('Data manipulation'!$C$23:$N$128,MATCH($S15&amp;$R15,'Data manipulation'!$B$23:$B$128&amp;'Data manipulation'!$A$23:$A$128,0),MATCH($U15,'Data manipulation'!$C$22:$N$22,0))/1000,0)*SUMIFS('Regional split'!$F$4:$F$6,'Regional split'!$B$4:$B$6,W$4)</f>
        <v>0</v>
      </c>
      <c r="X15" s="433" cm="1">
        <f t="array" ref="X15">_xlfn.IFNA(INDEX('Data manipulation'!$C$23:$N$128,MATCH($S15&amp;$R15,'Data manipulation'!$B$23:$B$128&amp;'Data manipulation'!$A$23:$A$128,0),MATCH($U15,'Data manipulation'!$C$22:$N$22,0))/1000,0)*SUMIFS('Regional split'!$F$4:$F$6,'Regional split'!$B$4:$B$6,X$4)</f>
        <v>0</v>
      </c>
      <c r="Y15" s="444">
        <f t="shared" si="3"/>
        <v>0</v>
      </c>
      <c r="Z15" s="251">
        <f t="shared" si="3"/>
        <v>0</v>
      </c>
      <c r="AA15" s="445">
        <f t="shared" ref="AA15:AA16" si="28">X15*L15</f>
        <v>0</v>
      </c>
      <c r="AC15" s="564"/>
      <c r="AD15" s="564"/>
    </row>
    <row r="16" spans="2:31" ht="14.5">
      <c r="B16" s="233" t="str">
        <f t="shared" si="24"/>
        <v>CFTNGAE1</v>
      </c>
      <c r="C16" s="233" t="str">
        <f t="shared" si="24"/>
        <v>Residential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31">
        <f t="shared" si="27"/>
        <v>0.5</v>
      </c>
      <c r="K16" s="631">
        <f t="shared" si="27"/>
        <v>0.5</v>
      </c>
      <c r="L16" s="631">
        <f t="shared" si="27"/>
        <v>0.5</v>
      </c>
      <c r="M16" s="244">
        <f t="shared" si="2"/>
        <v>3.1536000000000002E-2</v>
      </c>
      <c r="N16" s="459">
        <v>1</v>
      </c>
      <c r="O16" s="245">
        <v>30</v>
      </c>
      <c r="P16" s="227"/>
      <c r="Q16" s="227"/>
      <c r="R16" s="268" t="str">
        <f>R15</f>
        <v>Cooking</v>
      </c>
      <c r="S16" s="227" t="s">
        <v>74</v>
      </c>
      <c r="T16" s="246" t="s">
        <v>168</v>
      </c>
      <c r="U16" s="246">
        <v>2018</v>
      </c>
      <c r="V16" s="433" cm="1">
        <f t="array" ref="V16">_xlfn.IFNA(INDEX('Data manipulation'!$C$23:$N$128,MATCH($S16&amp;$R16,'Data manipulation'!$B$23:$B$128&amp;'Data manipulation'!$A$23:$A$128,0),MATCH($U16,'Data manipulation'!$C$22:$N$22,0))/1000,0)*SUMIFS('Regional split'!$F$4:$F$6,'Regional split'!$B$4:$B$6,V$4)</f>
        <v>2.0917435783126153</v>
      </c>
      <c r="W16" s="433" cm="1">
        <f t="array" ref="W16">_xlfn.IFNA(INDEX('Data manipulation'!$C$23:$N$128,MATCH($S16&amp;$R16,'Data manipulation'!$B$23:$B$128&amp;'Data manipulation'!$A$23:$A$128,0),MATCH($U16,'Data manipulation'!$C$22:$N$22,0))/1000,0)*SUMIFS('Regional split'!$F$4:$F$6,'Regional split'!$B$4:$B$6,W$4)</f>
        <v>0</v>
      </c>
      <c r="X16" s="433" cm="1">
        <f t="array" ref="X16">_xlfn.IFNA(INDEX('Data manipulation'!$C$23:$N$128,MATCH($S16&amp;$R16,'Data manipulation'!$B$23:$B$128&amp;'Data manipulation'!$A$23:$A$128,0),MATCH($U16,'Data manipulation'!$C$22:$N$22,0))/1000,0)*SUMIFS('Regional split'!$F$4:$F$6,'Regional split'!$B$4:$B$6,X$4)</f>
        <v>0</v>
      </c>
      <c r="Y16" s="444">
        <f t="shared" si="3"/>
        <v>1.0458717891563076</v>
      </c>
      <c r="Z16" s="251">
        <f t="shared" si="3"/>
        <v>0</v>
      </c>
      <c r="AA16" s="445">
        <f t="shared" si="28"/>
        <v>0</v>
      </c>
      <c r="AC16" s="564"/>
      <c r="AD16" s="564"/>
    </row>
    <row r="17" spans="2:31" ht="14.5">
      <c r="B17" s="233" t="str">
        <f t="shared" si="24"/>
        <v>CFTELCOE1</v>
      </c>
      <c r="C17" s="233" t="str">
        <f t="shared" si="24"/>
        <v>Residential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31">
        <f t="shared" si="27"/>
        <v>0.95</v>
      </c>
      <c r="K17" s="631">
        <f t="shared" si="27"/>
        <v>0.95</v>
      </c>
      <c r="L17" s="631">
        <f t="shared" si="27"/>
        <v>0.95</v>
      </c>
      <c r="M17" s="244">
        <f t="shared" si="2"/>
        <v>3.1536000000000002E-2</v>
      </c>
      <c r="N17" s="459">
        <v>1</v>
      </c>
      <c r="O17" s="245">
        <v>30</v>
      </c>
      <c r="P17" s="227"/>
      <c r="Q17" s="227"/>
      <c r="R17" s="268" t="str">
        <f>R16</f>
        <v>Cooking</v>
      </c>
      <c r="S17" s="227" t="s">
        <v>73</v>
      </c>
      <c r="T17" s="246" t="s">
        <v>73</v>
      </c>
      <c r="U17" s="246">
        <v>2018</v>
      </c>
      <c r="V17" s="433" cm="1">
        <f t="array" ref="V17">_xlfn.IFNA(INDEX('Data manipulation'!$C$23:$N$128,MATCH($S17&amp;$R17,'Data manipulation'!$B$23:$B$128&amp;'Data manipulation'!$A$23:$A$128,0),MATCH($U17,'Data manipulation'!$C$22:$N$22,0))/1000,0)*SUMIFS('Regional split'!$F$4:$F$6,'Regional split'!$B$4:$B$6,V$4)</f>
        <v>146.88505000527138</v>
      </c>
      <c r="W17" s="433" cm="1">
        <f t="array" ref="W17">_xlfn.IFNA(INDEX('Data manipulation'!$C$23:$N$128,MATCH($S17&amp;$R17,'Data manipulation'!$B$23:$B$128&amp;'Data manipulation'!$A$23:$A$128,0),MATCH($U17,'Data manipulation'!$C$22:$N$22,0))/1000,0)*SUMIFS('Regional split'!$F$4:$F$6,'Regional split'!$B$4:$B$6,W$4)</f>
        <v>0</v>
      </c>
      <c r="X17" s="433" cm="1">
        <f t="array" ref="X17">_xlfn.IFNA(INDEX('Data manipulation'!$C$23:$N$128,MATCH($S17&amp;$R17,'Data manipulation'!$B$23:$B$128&amp;'Data manipulation'!$A$23:$A$128,0),MATCH($U17,'Data manipulation'!$C$22:$N$22,0))/1000,0)*SUMIFS('Regional split'!$F$4:$F$6,'Regional split'!$B$4:$B$6,X$4)</f>
        <v>0</v>
      </c>
      <c r="Y17" s="444">
        <f t="shared" ref="Y17:Y18" si="30">V17*J17</f>
        <v>139.54079750500782</v>
      </c>
      <c r="Z17" s="251">
        <f t="shared" ref="Z17:Z18" si="31">W17*K17</f>
        <v>0</v>
      </c>
      <c r="AA17" s="445">
        <f t="shared" ref="AA17" si="32">X17*L17</f>
        <v>0</v>
      </c>
      <c r="AC17" s="564"/>
      <c r="AD17" s="564"/>
    </row>
    <row r="18" spans="2:31" ht="15" customHeight="1">
      <c r="B18" s="233" t="str">
        <f>Processes!D42</f>
        <v>CFTFIWE1</v>
      </c>
      <c r="C18" s="233" t="str">
        <f>Processes!E42</f>
        <v>Residential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33">
        <v>0.25600000000000001</v>
      </c>
      <c r="K18" s="633">
        <v>0.25600000000000001</v>
      </c>
      <c r="L18" s="633">
        <v>0.25600000000000001</v>
      </c>
      <c r="M18" s="244">
        <f t="shared" si="2"/>
        <v>3.1536000000000002E-2</v>
      </c>
      <c r="N18" s="459">
        <v>1</v>
      </c>
      <c r="O18" s="245">
        <v>30</v>
      </c>
      <c r="P18" s="227"/>
      <c r="Q18" s="268"/>
      <c r="R18" s="268" t="str">
        <f>R17</f>
        <v>Cooking</v>
      </c>
      <c r="S18" s="584" t="s">
        <v>835</v>
      </c>
      <c r="T18" s="246" t="s">
        <v>874</v>
      </c>
      <c r="U18" s="246">
        <v>2018</v>
      </c>
      <c r="V18" s="433" cm="1">
        <f t="array" ref="V18">_xlfn.IFNA(INDEX('Data manipulation'!$C$23:$N$128,MATCH($S18&amp;$R18,'Data manipulation'!$B$23:$B$128&amp;'Data manipulation'!$A$23:$A$128,0),MATCH($U18,'Data manipulation'!$C$22:$N$22,0))/1000,0)*SUMIFS('Regional split'!$F$4:$F$6,'Regional split'!$B$4:$B$6,V$4)</f>
        <v>1.739162960252647</v>
      </c>
      <c r="W18" s="433" cm="1">
        <f t="array" ref="W18">_xlfn.IFNA(INDEX('Data manipulation'!$C$23:$N$128,MATCH($S18&amp;$R18,'Data manipulation'!$B$23:$B$128&amp;'Data manipulation'!$A$23:$A$128,0),MATCH($U18,'Data manipulation'!$C$22:$N$22,0))/1000,0)*SUMIFS('Regional split'!$F$4:$F$6,'Regional split'!$B$4:$B$6,W$4)</f>
        <v>0</v>
      </c>
      <c r="X18" s="433" cm="1">
        <f t="array" ref="X18">_xlfn.IFNA(INDEX('Data manipulation'!$C$23:$N$128,MATCH($S18&amp;$R18,'Data manipulation'!$B$23:$B$128&amp;'Data manipulation'!$A$23:$A$128,0),MATCH($U18,'Data manipulation'!$C$22:$N$22,0))/1000,0)*SUMIFS('Regional split'!$F$4:$F$6,'Regional split'!$B$4:$B$6,X$4)</f>
        <v>0</v>
      </c>
      <c r="Y18" s="444">
        <f t="shared" si="30"/>
        <v>0.44522571782467768</v>
      </c>
      <c r="Z18" s="566">
        <f t="shared" si="31"/>
        <v>0</v>
      </c>
      <c r="AA18" s="445">
        <f>X18*L18</f>
        <v>0</v>
      </c>
      <c r="AC18" s="564"/>
      <c r="AD18" s="565"/>
      <c r="AE18" s="565"/>
    </row>
    <row r="19" spans="2:31" ht="14.5">
      <c r="B19" s="233" t="str">
        <f t="shared" ref="B19:E21" si="35">B15</f>
        <v>CFTLPGE1</v>
      </c>
      <c r="C19" s="233" t="str">
        <f t="shared" si="35"/>
        <v>Residential Food (Cooking) Technology   - LPG - Existing 1</v>
      </c>
      <c r="D19" s="233" t="str">
        <f t="shared" si="35"/>
        <v>COMLPG</v>
      </c>
      <c r="E19" s="233" t="str">
        <f t="shared" si="35"/>
        <v>CFDEM</v>
      </c>
      <c r="F19" s="569">
        <f>F15+O19</f>
        <v>2048</v>
      </c>
      <c r="G19" s="250">
        <v>0</v>
      </c>
      <c r="H19" s="250">
        <v>0</v>
      </c>
      <c r="I19" s="250">
        <v>0</v>
      </c>
      <c r="J19" s="631">
        <f t="shared" ref="J19:L21" si="36">J15</f>
        <v>0.5</v>
      </c>
      <c r="K19" s="631">
        <f t="shared" si="36"/>
        <v>0.5</v>
      </c>
      <c r="L19" s="631">
        <f t="shared" si="36"/>
        <v>0.5</v>
      </c>
      <c r="M19" s="244">
        <f t="shared" si="2"/>
        <v>3.1536000000000002E-2</v>
      </c>
      <c r="N19" s="459">
        <v>1</v>
      </c>
      <c r="O19" s="245">
        <v>30</v>
      </c>
      <c r="P19" s="227"/>
      <c r="Q19" s="227"/>
      <c r="R19" s="268" t="str">
        <f>R16</f>
        <v>Cooking</v>
      </c>
      <c r="S19" s="594" t="s">
        <v>838</v>
      </c>
      <c r="T19" s="246" t="s">
        <v>168</v>
      </c>
      <c r="U19" s="246">
        <v>2018</v>
      </c>
      <c r="V19" s="433" cm="1">
        <f t="array" ref="V19">_xlfn.IFNA(INDEX('Data manipulation'!$C$23:$N$128,MATCH($S19&amp;$R19,'Data manipulation'!$B$23:$B$128&amp;'Data manipulation'!$A$23:$A$128,0),MATCH($U19,'Data manipulation'!$C$22:$N$22,0))/1000,0)*SUMIFS('Regional split'!$F$4:$F$6,'Regional split'!$B$4:$B$6,V$4)</f>
        <v>0</v>
      </c>
      <c r="W19" s="433" cm="1">
        <f t="array" ref="W19">_xlfn.IFNA(INDEX('Data manipulation'!$C$23:$N$128,MATCH($S19&amp;$R19,'Data manipulation'!$B$23:$B$128&amp;'Data manipulation'!$A$23:$A$128,0),MATCH($U19,'Data manipulation'!$C$22:$N$22,0))/1000,0)*SUMIFS('Regional split'!$F$4:$F$6,'Regional split'!$B$4:$B$6,W$4)</f>
        <v>0</v>
      </c>
      <c r="X19" s="433" cm="1">
        <f t="array" ref="X19">_xlfn.IFNA(INDEX('Data manipulation'!$C$23:$N$128,MATCH($S19&amp;$R19,'Data manipulation'!$B$23:$B$128&amp;'Data manipulation'!$A$23:$A$128,0),MATCH($U19,'Data manipulation'!$C$22:$N$22,0))/1000,0)*SUMIFS('Regional split'!$F$4:$F$6,'Regional split'!$B$4:$B$6,X$4)</f>
        <v>0</v>
      </c>
      <c r="Y19" s="444">
        <f t="shared" ref="Y19:Y20" si="37">V19*J19</f>
        <v>0</v>
      </c>
      <c r="Z19" s="251">
        <f t="shared" ref="Z19:Z20" si="38">W19*K19</f>
        <v>0</v>
      </c>
      <c r="AA19" s="445">
        <f t="shared" ref="AA19:AA20" si="39">X19*L19</f>
        <v>0</v>
      </c>
      <c r="AC19" s="564"/>
      <c r="AD19" s="564"/>
    </row>
    <row r="20" spans="2:31" ht="14.5">
      <c r="B20" s="233" t="str">
        <f t="shared" si="35"/>
        <v>CFTNGAE1</v>
      </c>
      <c r="C20" s="233" t="str">
        <f t="shared" si="35"/>
        <v>Residential Food (Cooking) Technology   - Natural Gas - Existing 1</v>
      </c>
      <c r="D20" s="233" t="str">
        <f t="shared" si="35"/>
        <v>COMNGA</v>
      </c>
      <c r="E20" s="233" t="str">
        <f t="shared" si="35"/>
        <v>CFDEM</v>
      </c>
      <c r="F20" s="569">
        <f>F16+O20</f>
        <v>2048</v>
      </c>
      <c r="G20" s="250">
        <v>0</v>
      </c>
      <c r="H20" s="250">
        <v>0</v>
      </c>
      <c r="I20" s="250">
        <v>0</v>
      </c>
      <c r="J20" s="631">
        <f t="shared" si="36"/>
        <v>0.5</v>
      </c>
      <c r="K20" s="631">
        <f t="shared" si="36"/>
        <v>0.5</v>
      </c>
      <c r="L20" s="631">
        <f t="shared" si="36"/>
        <v>0.5</v>
      </c>
      <c r="M20" s="244">
        <f t="shared" si="2"/>
        <v>3.1536000000000002E-2</v>
      </c>
      <c r="N20" s="459">
        <v>1</v>
      </c>
      <c r="O20" s="245">
        <v>30</v>
      </c>
      <c r="P20" s="227"/>
      <c r="Q20" s="227"/>
      <c r="R20" s="268" t="str">
        <f>R19</f>
        <v>Cooking</v>
      </c>
      <c r="S20" s="227" t="s">
        <v>74</v>
      </c>
      <c r="T20" s="246" t="s">
        <v>168</v>
      </c>
      <c r="U20" s="246">
        <v>2018</v>
      </c>
      <c r="V20" s="433" cm="1">
        <f t="array" ref="V20">_xlfn.IFNA(INDEX('Data manipulation'!$C$23:$N$128,MATCH($S20&amp;$R20,'Data manipulation'!$B$23:$B$128&amp;'Data manipulation'!$A$23:$A$128,0),MATCH($U20,'Data manipulation'!$C$22:$N$22,0))/1000,0)*SUMIFS('Regional split'!$F$4:$F$6,'Regional split'!$B$4:$B$6,V$4)</f>
        <v>2.0917435783126153</v>
      </c>
      <c r="W20" s="433" cm="1">
        <f t="array" ref="W20">_xlfn.IFNA(INDEX('Data manipulation'!$C$23:$N$128,MATCH($S20&amp;$R20,'Data manipulation'!$B$23:$B$128&amp;'Data manipulation'!$A$23:$A$128,0),MATCH($U20,'Data manipulation'!$C$22:$N$22,0))/1000,0)*SUMIFS('Regional split'!$F$4:$F$6,'Regional split'!$B$4:$B$6,W$4)</f>
        <v>0</v>
      </c>
      <c r="X20" s="433" cm="1">
        <f t="array" ref="X20">_xlfn.IFNA(INDEX('Data manipulation'!$C$23:$N$128,MATCH($S20&amp;$R20,'Data manipulation'!$B$23:$B$128&amp;'Data manipulation'!$A$23:$A$128,0),MATCH($U20,'Data manipulation'!$C$22:$N$22,0))/1000,0)*SUMIFS('Regional split'!$F$4:$F$6,'Regional split'!$B$4:$B$6,X$4)</f>
        <v>0</v>
      </c>
      <c r="Y20" s="444">
        <f t="shared" si="37"/>
        <v>1.0458717891563076</v>
      </c>
      <c r="Z20" s="251">
        <f t="shared" si="38"/>
        <v>0</v>
      </c>
      <c r="AA20" s="445">
        <f t="shared" si="39"/>
        <v>0</v>
      </c>
      <c r="AC20" s="564"/>
      <c r="AD20" s="564"/>
    </row>
    <row r="21" spans="2:31" ht="14.5">
      <c r="B21" s="233" t="str">
        <f t="shared" si="35"/>
        <v>CFTELCOE1</v>
      </c>
      <c r="C21" s="233" t="str">
        <f t="shared" si="35"/>
        <v>Residential Food (Cooking) Technology   - Electricity Cooking - Existing 1</v>
      </c>
      <c r="D21" s="233" t="str">
        <f t="shared" si="35"/>
        <v>COMELCO</v>
      </c>
      <c r="E21" s="233" t="str">
        <f t="shared" si="35"/>
        <v>CFDEM</v>
      </c>
      <c r="F21" s="569">
        <f>F17+O21</f>
        <v>2048</v>
      </c>
      <c r="G21" s="250">
        <v>0</v>
      </c>
      <c r="H21" s="250">
        <v>0</v>
      </c>
      <c r="I21" s="250">
        <v>0</v>
      </c>
      <c r="J21" s="631">
        <f t="shared" si="36"/>
        <v>0.95</v>
      </c>
      <c r="K21" s="631">
        <f t="shared" si="36"/>
        <v>0.95</v>
      </c>
      <c r="L21" s="631">
        <f t="shared" si="36"/>
        <v>0.95</v>
      </c>
      <c r="M21" s="244">
        <f t="shared" si="2"/>
        <v>3.1536000000000002E-2</v>
      </c>
      <c r="N21" s="459">
        <v>1</v>
      </c>
      <c r="O21" s="245">
        <v>30</v>
      </c>
      <c r="P21" s="227"/>
      <c r="Q21" s="227"/>
      <c r="R21" s="268" t="str">
        <f>R20</f>
        <v>Cooking</v>
      </c>
      <c r="S21" s="227" t="s">
        <v>73</v>
      </c>
      <c r="T21" s="246" t="s">
        <v>73</v>
      </c>
      <c r="U21" s="246">
        <v>2018</v>
      </c>
      <c r="V21" s="433" cm="1">
        <f t="array" ref="V21">_xlfn.IFNA(INDEX('Data manipulation'!$C$23:$N$128,MATCH($S21&amp;$R21,'Data manipulation'!$B$23:$B$128&amp;'Data manipulation'!$A$23:$A$128,0),MATCH($U21,'Data manipulation'!$C$22:$N$22,0))/1000,0)*SUMIFS('Regional split'!$F$4:$F$6,'Regional split'!$B$4:$B$6,V$4)</f>
        <v>146.88505000527138</v>
      </c>
      <c r="W21" s="433" cm="1">
        <f t="array" ref="W21">_xlfn.IFNA(INDEX('Data manipulation'!$C$23:$N$128,MATCH($S21&amp;$R21,'Data manipulation'!$B$23:$B$128&amp;'Data manipulation'!$A$23:$A$128,0),MATCH($U21,'Data manipulation'!$C$22:$N$22,0))/1000,0)*SUMIFS('Regional split'!$F$4:$F$6,'Regional split'!$B$4:$B$6,W$4)</f>
        <v>0</v>
      </c>
      <c r="X21" s="433" cm="1">
        <f t="array" ref="X21">_xlfn.IFNA(INDEX('Data manipulation'!$C$23:$N$128,MATCH($S21&amp;$R21,'Data manipulation'!$B$23:$B$128&amp;'Data manipulation'!$A$23:$A$128,0),MATCH($U21,'Data manipulation'!$C$22:$N$22,0))/1000,0)*SUMIFS('Regional split'!$F$4:$F$6,'Regional split'!$B$4:$B$6,X$4)</f>
        <v>0</v>
      </c>
      <c r="Y21" s="444">
        <f t="shared" ref="Y21:Y22" si="40">V21*J21</f>
        <v>139.54079750500782</v>
      </c>
      <c r="Z21" s="251">
        <f t="shared" ref="Z21:Z22" si="41">W21*K21</f>
        <v>0</v>
      </c>
      <c r="AA21" s="445">
        <f t="shared" ref="AA21" si="42">X21*L21</f>
        <v>0</v>
      </c>
      <c r="AC21" s="564"/>
      <c r="AD21" s="564"/>
    </row>
    <row r="22" spans="2:31" ht="15" customHeight="1">
      <c r="B22" s="233" t="str">
        <f>Processes!D42</f>
        <v>CFTFIWE1</v>
      </c>
      <c r="C22" s="233" t="str">
        <f>Processes!E42</f>
        <v>Residential Food (Cooking) Technology   - Fire wood - Existing 1</v>
      </c>
      <c r="D22" s="230" t="str">
        <f>Commodities!$C$24</f>
        <v>COMFIW</v>
      </c>
      <c r="E22" s="230" t="str">
        <f>Commodities!$C$17</f>
        <v>CFDEM</v>
      </c>
      <c r="F22" s="259">
        <v>2048</v>
      </c>
      <c r="G22" s="250">
        <v>0</v>
      </c>
      <c r="H22" s="250">
        <v>0</v>
      </c>
      <c r="I22" s="250">
        <v>0</v>
      </c>
      <c r="J22" s="633">
        <v>0.25600000000000001</v>
      </c>
      <c r="K22" s="633">
        <v>0.25600000000000001</v>
      </c>
      <c r="L22" s="633">
        <v>0.25600000000000001</v>
      </c>
      <c r="M22" s="244">
        <f t="shared" si="2"/>
        <v>3.1536000000000002E-2</v>
      </c>
      <c r="N22" s="459">
        <v>1</v>
      </c>
      <c r="O22" s="245">
        <v>30</v>
      </c>
      <c r="P22" s="227"/>
      <c r="Q22" s="268"/>
      <c r="R22" s="268" t="str">
        <f>R21</f>
        <v>Cooking</v>
      </c>
      <c r="S22" s="584" t="s">
        <v>835</v>
      </c>
      <c r="T22" s="246" t="s">
        <v>874</v>
      </c>
      <c r="U22" s="246">
        <v>2018</v>
      </c>
      <c r="V22" s="433" cm="1">
        <f t="array" ref="V22">_xlfn.IFNA(INDEX('Data manipulation'!$C$23:$N$128,MATCH($S22&amp;$R22,'Data manipulation'!$B$23:$B$128&amp;'Data manipulation'!$A$23:$A$128,0),MATCH($U22,'Data manipulation'!$C$22:$N$22,0))/1000,0)*SUMIFS('Regional split'!$F$4:$F$6,'Regional split'!$B$4:$B$6,V$4)</f>
        <v>1.739162960252647</v>
      </c>
      <c r="W22" s="433" cm="1">
        <f t="array" ref="W22">_xlfn.IFNA(INDEX('Data manipulation'!$C$23:$N$128,MATCH($S22&amp;$R22,'Data manipulation'!$B$23:$B$128&amp;'Data manipulation'!$A$23:$A$128,0),MATCH($U22,'Data manipulation'!$C$22:$N$22,0))/1000,0)*SUMIFS('Regional split'!$F$4:$F$6,'Regional split'!$B$4:$B$6,W$4)</f>
        <v>0</v>
      </c>
      <c r="X22" s="433" cm="1">
        <f t="array" ref="X22">_xlfn.IFNA(INDEX('Data manipulation'!$C$23:$N$128,MATCH($S22&amp;$R22,'Data manipulation'!$B$23:$B$128&amp;'Data manipulation'!$A$23:$A$128,0),MATCH($U22,'Data manipulation'!$C$22:$N$22,0))/1000,0)*SUMIFS('Regional split'!$F$4:$F$6,'Regional split'!$B$4:$B$6,X$4)</f>
        <v>0</v>
      </c>
      <c r="Y22" s="444">
        <f t="shared" si="40"/>
        <v>0.44522571782467768</v>
      </c>
      <c r="Z22" s="566">
        <f t="shared" si="41"/>
        <v>0</v>
      </c>
      <c r="AA22" s="445">
        <f>X22*L22</f>
        <v>0</v>
      </c>
      <c r="AC22" s="564"/>
      <c r="AD22" s="565"/>
      <c r="AE22" s="565"/>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4" t="s">
        <v>272</v>
      </c>
      <c r="C25" s="227"/>
      <c r="D25" s="228"/>
      <c r="E25" s="229" t="s">
        <v>162</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174</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7" t="s">
        <v>956</v>
      </c>
      <c r="W27" s="438" t="s">
        <v>969</v>
      </c>
      <c r="X27" s="439" t="s">
        <v>972</v>
      </c>
      <c r="Y27" s="437" t="s">
        <v>956</v>
      </c>
      <c r="Z27" s="438" t="s">
        <v>969</v>
      </c>
      <c r="AA27" s="439" t="s">
        <v>972</v>
      </c>
    </row>
    <row r="28" spans="2:31" ht="26">
      <c r="B28" s="238" t="s">
        <v>2</v>
      </c>
      <c r="C28" s="238" t="s">
        <v>26</v>
      </c>
      <c r="D28" s="238" t="s">
        <v>14</v>
      </c>
      <c r="E28" s="238" t="s">
        <v>15</v>
      </c>
      <c r="F28" s="422" t="s">
        <v>94</v>
      </c>
      <c r="G28" s="239" t="s">
        <v>944</v>
      </c>
      <c r="H28" s="239" t="s">
        <v>957</v>
      </c>
      <c r="I28" s="239" t="s">
        <v>973</v>
      </c>
      <c r="J28" s="240" t="s">
        <v>952</v>
      </c>
      <c r="K28" s="240" t="s">
        <v>965</v>
      </c>
      <c r="L28" s="240" t="s">
        <v>974</v>
      </c>
      <c r="M28" s="238" t="s">
        <v>0</v>
      </c>
      <c r="N28" s="238" t="s">
        <v>165</v>
      </c>
      <c r="O28" s="239" t="s">
        <v>93</v>
      </c>
      <c r="P28" s="227"/>
      <c r="Q28" s="227"/>
      <c r="R28" s="227"/>
      <c r="S28" s="227"/>
      <c r="T28" s="227"/>
      <c r="U28" s="227"/>
      <c r="V28" s="273" t="s">
        <v>75</v>
      </c>
      <c r="W28" s="272" t="s">
        <v>75</v>
      </c>
      <c r="X28" s="440" t="s">
        <v>75</v>
      </c>
      <c r="Y28" s="273" t="s">
        <v>71</v>
      </c>
      <c r="Z28" s="272" t="s">
        <v>71</v>
      </c>
      <c r="AA28" s="440" t="s">
        <v>71</v>
      </c>
    </row>
    <row r="29" spans="2:31" ht="21.5" thickBot="1">
      <c r="B29" s="242" t="s">
        <v>27</v>
      </c>
      <c r="C29" s="242"/>
      <c r="D29" s="242"/>
      <c r="E29" s="242"/>
      <c r="F29" s="243"/>
      <c r="G29" s="243" t="s">
        <v>65</v>
      </c>
      <c r="H29" s="243" t="s">
        <v>65</v>
      </c>
      <c r="I29" s="243" t="s">
        <v>65</v>
      </c>
      <c r="J29" s="243" t="s">
        <v>69</v>
      </c>
      <c r="K29" s="243" t="s">
        <v>69</v>
      </c>
      <c r="L29" s="243" t="s">
        <v>69</v>
      </c>
      <c r="M29" s="242"/>
      <c r="N29" s="242" t="s">
        <v>756</v>
      </c>
      <c r="O29" s="242" t="s">
        <v>94</v>
      </c>
      <c r="P29" s="227"/>
      <c r="Q29" s="227"/>
      <c r="R29" s="227"/>
      <c r="S29" s="227"/>
      <c r="T29" s="227"/>
      <c r="U29" s="227" t="s">
        <v>94</v>
      </c>
      <c r="V29" s="275" t="s">
        <v>48</v>
      </c>
      <c r="W29" s="458" t="s">
        <v>48</v>
      </c>
      <c r="X29" s="441" t="s">
        <v>48</v>
      </c>
      <c r="Y29" s="275" t="s">
        <v>70</v>
      </c>
      <c r="Z29" s="274" t="s">
        <v>70</v>
      </c>
      <c r="AA29" s="441" t="s">
        <v>70</v>
      </c>
    </row>
    <row r="30" spans="2:31" ht="15" customHeight="1">
      <c r="B30" s="233" t="str">
        <f>Processes!D43</f>
        <v>CATELCAE1</v>
      </c>
      <c r="C30" s="233" t="str">
        <f>Processes!E43</f>
        <v>Residential Appliances Technology   - Electricity Appliances - Existing 1</v>
      </c>
      <c r="D30" s="230" t="str">
        <f>Commodities!$C$31</f>
        <v>COMELCA</v>
      </c>
      <c r="E30" s="259" t="str">
        <f>Commodities!$C$16</f>
        <v>CADEM</v>
      </c>
      <c r="F30" s="259">
        <v>2010</v>
      </c>
      <c r="G30" s="250">
        <f t="shared" ref="G30:I35" si="43">ROUNDUP(Y30/($M30*$N30)*$G$25,2)</f>
        <v>0</v>
      </c>
      <c r="H30" s="250">
        <f t="shared" si="43"/>
        <v>0</v>
      </c>
      <c r="I30" s="250">
        <f t="shared" si="43"/>
        <v>0</v>
      </c>
      <c r="J30" s="463">
        <v>1</v>
      </c>
      <c r="K30" s="463">
        <v>1</v>
      </c>
      <c r="L30" s="463">
        <v>1</v>
      </c>
      <c r="M30" s="244">
        <f t="shared" ref="M30:M37" si="44">31.536/1000</f>
        <v>3.1536000000000002E-2</v>
      </c>
      <c r="N30" s="459">
        <v>0.8</v>
      </c>
      <c r="O30" s="245">
        <v>30</v>
      </c>
      <c r="P30" s="268"/>
      <c r="Q30" s="564">
        <f>SUM(G30:I30)*M30</f>
        <v>0</v>
      </c>
      <c r="R30" s="268" t="str">
        <f>B25</f>
        <v>Appliances</v>
      </c>
      <c r="S30" s="227" t="s">
        <v>73</v>
      </c>
      <c r="T30" s="254" t="s">
        <v>170</v>
      </c>
      <c r="U30" s="246">
        <v>2010</v>
      </c>
      <c r="V30" s="433" cm="1">
        <f t="array" ref="V30">_xlfn.IFNA(INDEX('Data manipulation'!$C$23:$N$128,MATCH($S30&amp;$R30,'Data manipulation'!$B$23:$B$128&amp;'Data manipulation'!$A$23:$A$128,0),MATCH($U30,'Data manipulation'!$C$22:$N$22,0))/1000,0)*SUMIFS('Regional split'!$F$4:$F$6,'Regional split'!$B$4:$B$6,V$4)</f>
        <v>0</v>
      </c>
      <c r="W30" s="433" cm="1">
        <f t="array" ref="W30">_xlfn.IFNA(INDEX('Data manipulation'!$C$23:$N$128,MATCH($S30&amp;$R30,'Data manipulation'!$B$23:$B$128&amp;'Data manipulation'!$A$23:$A$128,0),MATCH($U30,'Data manipulation'!$C$22:$N$22,0))/1000,0)*SUMIFS('Regional split'!$F$4:$F$6,'Regional split'!$B$4:$B$6,W$4)</f>
        <v>0</v>
      </c>
      <c r="X30" s="433" cm="1">
        <f t="array" ref="X30">_xlfn.IFNA(INDEX('Data manipulation'!$C$23:$N$128,MATCH($S30&amp;$R30,'Data manipulation'!$B$23:$B$128&amp;'Data manipulation'!$A$23:$A$128,0),MATCH($U30,'Data manipulation'!$C$22:$N$22,0))/1000,0)*SUMIFS('Regional split'!$F$4:$F$6,'Regional split'!$B$4:$B$6,X$4)</f>
        <v>0</v>
      </c>
      <c r="Y30" s="444">
        <f t="shared" ref="Y30:Y31" si="45">V30*J30</f>
        <v>0</v>
      </c>
      <c r="Z30" s="251">
        <f t="shared" ref="Z30:Z35" si="46">W30*K30</f>
        <v>0</v>
      </c>
      <c r="AA30" s="445">
        <f t="shared" ref="AA30:AA35" si="47">X30*L30</f>
        <v>0</v>
      </c>
    </row>
    <row r="31" spans="2:31" ht="15" customHeight="1">
      <c r="B31" s="233" t="str">
        <f>Processes!D44</f>
        <v>CATGSLE1</v>
      </c>
      <c r="C31" s="233" t="str">
        <f>Processes!E44</f>
        <v>Residential Appliances Technology   - Gasoline - Existing 1</v>
      </c>
      <c r="D31" s="230" t="str">
        <f>Commodities!$C$22</f>
        <v>COMGSL</v>
      </c>
      <c r="E31" s="259" t="str">
        <f>Commodities!$C$16</f>
        <v>CADEM</v>
      </c>
      <c r="F31" s="259">
        <v>2010</v>
      </c>
      <c r="G31" s="250">
        <f t="shared" si="43"/>
        <v>0</v>
      </c>
      <c r="H31" s="250">
        <f t="shared" si="43"/>
        <v>0</v>
      </c>
      <c r="I31" s="250">
        <f t="shared" si="43"/>
        <v>0</v>
      </c>
      <c r="J31" s="463">
        <v>0.15</v>
      </c>
      <c r="K31" s="463">
        <v>0.15</v>
      </c>
      <c r="L31" s="463">
        <v>0.15</v>
      </c>
      <c r="M31" s="244">
        <f t="shared" si="44"/>
        <v>3.1536000000000002E-2</v>
      </c>
      <c r="N31" s="459">
        <v>0.8</v>
      </c>
      <c r="O31" s="245">
        <v>30</v>
      </c>
      <c r="P31" s="227"/>
      <c r="Q31" s="268"/>
      <c r="R31" s="268" t="str">
        <f>R30</f>
        <v>Appliances</v>
      </c>
      <c r="S31" s="595" t="s">
        <v>859</v>
      </c>
      <c r="T31" s="254" t="s">
        <v>729</v>
      </c>
      <c r="U31" s="246">
        <v>2010</v>
      </c>
      <c r="V31" s="433" cm="1">
        <f t="array" ref="V31">_xlfn.IFNA(INDEX('Data manipulation'!$C$23:$N$128,MATCH($S31&amp;$R31,'Data manipulation'!$B$23:$B$128&amp;'Data manipulation'!$A$23:$A$128,0),MATCH($U31,'Data manipulation'!$C$22:$N$22,0))/1000,0)*SUMIFS('Regional split'!$F$4:$F$6,'Regional split'!$B$4:$B$6,V$4)</f>
        <v>0</v>
      </c>
      <c r="W31" s="433" cm="1">
        <f t="array" ref="W31">_xlfn.IFNA(INDEX('Data manipulation'!$C$23:$N$128,MATCH($S31&amp;$R31,'Data manipulation'!$B$23:$B$128&amp;'Data manipulation'!$A$23:$A$128,0),MATCH($U31,'Data manipulation'!$C$22:$N$22,0))/1000,0)*SUMIFS('Regional split'!$F$4:$F$6,'Regional split'!$B$4:$B$6,W$4)</f>
        <v>0</v>
      </c>
      <c r="X31" s="433" cm="1">
        <f t="array" ref="X31">_xlfn.IFNA(INDEX('Data manipulation'!$C$23:$N$128,MATCH($S31&amp;$R31,'Data manipulation'!$B$23:$B$128&amp;'Data manipulation'!$A$23:$A$128,0),MATCH($U31,'Data manipulation'!$C$22:$N$22,0))/1000,0)*SUMIFS('Regional split'!$F$4:$F$6,'Regional split'!$B$4:$B$6,X$4)</f>
        <v>0</v>
      </c>
      <c r="Y31" s="444">
        <f t="shared" si="45"/>
        <v>0</v>
      </c>
      <c r="Z31" s="251">
        <f t="shared" si="46"/>
        <v>0</v>
      </c>
      <c r="AA31" s="445">
        <f t="shared" si="47"/>
        <v>0</v>
      </c>
    </row>
    <row r="32" spans="2:31" ht="14.5">
      <c r="B32" s="233" t="str">
        <f t="shared" ref="B32:E35" si="48">B30</f>
        <v>CATELCAE1</v>
      </c>
      <c r="C32" s="233" t="str">
        <f t="shared" si="48"/>
        <v>Residential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3">
        <f t="shared" ref="J32:L35" si="51">J30</f>
        <v>1</v>
      </c>
      <c r="K32" s="463">
        <f t="shared" si="51"/>
        <v>1</v>
      </c>
      <c r="L32" s="463">
        <f t="shared" si="51"/>
        <v>1</v>
      </c>
      <c r="M32" s="244">
        <f t="shared" si="44"/>
        <v>3.1536000000000002E-2</v>
      </c>
      <c r="N32" s="459">
        <v>0.8</v>
      </c>
      <c r="O32" s="245">
        <v>30</v>
      </c>
      <c r="P32" s="227"/>
      <c r="Q32" s="227"/>
      <c r="R32" s="268" t="str">
        <f>R30</f>
        <v>Appliances</v>
      </c>
      <c r="S32" s="227" t="s">
        <v>73</v>
      </c>
      <c r="T32" s="254" t="s">
        <v>170</v>
      </c>
      <c r="U32" s="246">
        <v>2015</v>
      </c>
      <c r="V32" s="433" cm="1">
        <f t="array" ref="V32">_xlfn.IFNA(INDEX('Data manipulation'!$C$23:$N$128,MATCH($S32&amp;$R32,'Data manipulation'!$B$23:$B$128&amp;'Data manipulation'!$A$23:$A$128,0),MATCH($U32,'Data manipulation'!$C$22:$N$22,0))/1000,0)*SUMIFS('Regional split'!$F$4:$F$6,'Regional split'!$B$4:$B$6,V$4)</f>
        <v>259.22129859730302</v>
      </c>
      <c r="W32" s="433" cm="1">
        <f t="array" ref="W32">_xlfn.IFNA(INDEX('Data manipulation'!$C$23:$N$128,MATCH($S32&amp;$R32,'Data manipulation'!$B$23:$B$128&amp;'Data manipulation'!$A$23:$A$128,0),MATCH($U32,'Data manipulation'!$C$22:$N$22,0))/1000,0)*SUMIFS('Regional split'!$F$4:$F$6,'Regional split'!$B$4:$B$6,W$4)</f>
        <v>0</v>
      </c>
      <c r="X32" s="433" cm="1">
        <f t="array" ref="X32">_xlfn.IFNA(INDEX('Data manipulation'!$C$23:$N$128,MATCH($S32&amp;$R32,'Data manipulation'!$B$23:$B$128&amp;'Data manipulation'!$A$23:$A$128,0),MATCH($U32,'Data manipulation'!$C$22:$N$22,0))/1000,0)*SUMIFS('Regional split'!$F$4:$F$6,'Regional split'!$B$4:$B$6,X$4)</f>
        <v>0</v>
      </c>
      <c r="Y32" s="444">
        <f>V32*J32</f>
        <v>259.22129859730302</v>
      </c>
      <c r="Z32" s="251">
        <f t="shared" ref="Z32:Z33" si="52">W32*K32</f>
        <v>0</v>
      </c>
      <c r="AA32" s="445">
        <f t="shared" ref="AA32:AA33" si="53">X32*L32</f>
        <v>0</v>
      </c>
    </row>
    <row r="33" spans="2:27" ht="14.5">
      <c r="B33" s="233" t="str">
        <f t="shared" si="48"/>
        <v>CATGSLE1</v>
      </c>
      <c r="C33" s="233" t="str">
        <f t="shared" si="48"/>
        <v>Residential Appliances Technology   - Gasoline - Existing 1</v>
      </c>
      <c r="D33" s="233" t="str">
        <f t="shared" si="48"/>
        <v>COMGSL</v>
      </c>
      <c r="E33" s="233" t="str">
        <f t="shared" si="48"/>
        <v>CADEM</v>
      </c>
      <c r="F33" s="259">
        <v>2015</v>
      </c>
      <c r="G33" s="250">
        <f>ROUNDUP(Y33/($M33*$N33)*$G$25,2)</f>
        <v>0</v>
      </c>
      <c r="H33" s="250">
        <f t="shared" si="49"/>
        <v>0</v>
      </c>
      <c r="I33" s="250">
        <f t="shared" si="50"/>
        <v>0</v>
      </c>
      <c r="J33" s="463">
        <f t="shared" si="51"/>
        <v>0.15</v>
      </c>
      <c r="K33" s="463">
        <f t="shared" si="51"/>
        <v>0.15</v>
      </c>
      <c r="L33" s="463">
        <f t="shared" si="51"/>
        <v>0.15</v>
      </c>
      <c r="M33" s="244">
        <f t="shared" si="44"/>
        <v>3.1536000000000002E-2</v>
      </c>
      <c r="N33" s="459">
        <v>0.8</v>
      </c>
      <c r="O33" s="245">
        <v>30</v>
      </c>
      <c r="P33" s="227"/>
      <c r="Q33" s="227"/>
      <c r="R33" s="268" t="str">
        <f>R31</f>
        <v>Appliances</v>
      </c>
      <c r="S33" s="595" t="s">
        <v>859</v>
      </c>
      <c r="T33" s="254" t="s">
        <v>729</v>
      </c>
      <c r="U33" s="246">
        <v>2015</v>
      </c>
      <c r="V33" s="433" cm="1">
        <f t="array" ref="V33">_xlfn.IFNA(INDEX('Data manipulation'!$C$23:$N$128,MATCH($S33&amp;$R33,'Data manipulation'!$B$23:$B$128&amp;'Data manipulation'!$A$23:$A$128,0),MATCH($U33,'Data manipulation'!$C$22:$N$22,0))/1000,0)*SUMIFS('Regional split'!$F$4:$F$6,'Regional split'!$B$4:$B$6,V$4)</f>
        <v>0</v>
      </c>
      <c r="W33" s="433" cm="1">
        <f t="array" ref="W33">_xlfn.IFNA(INDEX('Data manipulation'!$C$23:$N$128,MATCH($S33&amp;$R33,'Data manipulation'!$B$23:$B$128&amp;'Data manipulation'!$A$23:$A$128,0),MATCH($U33,'Data manipulation'!$C$22:$N$22,0))/1000,0)*SUMIFS('Regional split'!$F$4:$F$6,'Regional split'!$B$4:$B$6,W$4)</f>
        <v>0</v>
      </c>
      <c r="X33" s="433" cm="1">
        <f t="array" ref="X33">_xlfn.IFNA(INDEX('Data manipulation'!$C$23:$N$128,MATCH($S33&amp;$R33,'Data manipulation'!$B$23:$B$128&amp;'Data manipulation'!$A$23:$A$128,0),MATCH($U33,'Data manipulation'!$C$22:$N$22,0))/1000,0)*SUMIFS('Regional split'!$F$4:$F$6,'Regional split'!$B$4:$B$6,X$4)</f>
        <v>0</v>
      </c>
      <c r="Y33" s="444">
        <f t="shared" ref="Y33" si="54">V33*J33</f>
        <v>0</v>
      </c>
      <c r="Z33" s="251">
        <f t="shared" si="52"/>
        <v>0</v>
      </c>
      <c r="AA33" s="445">
        <f t="shared" si="53"/>
        <v>0</v>
      </c>
    </row>
    <row r="34" spans="2:27" ht="14.5">
      <c r="B34" s="233" t="str">
        <f t="shared" si="48"/>
        <v>CATELCAE1</v>
      </c>
      <c r="C34" s="233" t="str">
        <f t="shared" si="48"/>
        <v>Residential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3">
        <f t="shared" si="51"/>
        <v>1</v>
      </c>
      <c r="K34" s="463">
        <f t="shared" si="51"/>
        <v>1</v>
      </c>
      <c r="L34" s="463">
        <f t="shared" si="51"/>
        <v>1</v>
      </c>
      <c r="M34" s="244">
        <f t="shared" si="44"/>
        <v>3.1536000000000002E-2</v>
      </c>
      <c r="N34" s="459">
        <v>0.8</v>
      </c>
      <c r="O34" s="245">
        <v>30</v>
      </c>
      <c r="P34" s="227"/>
      <c r="Q34" s="227"/>
      <c r="R34" s="268" t="str">
        <f>R32</f>
        <v>Appliances</v>
      </c>
      <c r="S34" s="227" t="s">
        <v>73</v>
      </c>
      <c r="T34" s="254" t="s">
        <v>170</v>
      </c>
      <c r="U34" s="246">
        <v>2018</v>
      </c>
      <c r="V34" s="433" cm="1">
        <f t="array" ref="V34">_xlfn.IFNA(INDEX('Data manipulation'!$C$23:$N$128,MATCH($S34&amp;$R34,'Data manipulation'!$B$23:$B$128&amp;'Data manipulation'!$A$23:$A$128,0),MATCH($U34,'Data manipulation'!$C$22:$N$22,0))/1000,0)*SUMIFS('Regional split'!$F$4:$F$6,'Regional split'!$B$4:$B$6,V$4)</f>
        <v>245.83807074083413</v>
      </c>
      <c r="W34" s="433" cm="1">
        <f t="array" ref="W34">_xlfn.IFNA(INDEX('Data manipulation'!$C$23:$N$128,MATCH($S34&amp;$R34,'Data manipulation'!$B$23:$B$128&amp;'Data manipulation'!$A$23:$A$128,0),MATCH($U34,'Data manipulation'!$C$22:$N$22,0))/1000,0)*SUMIFS('Regional split'!$F$4:$F$6,'Regional split'!$B$4:$B$6,W$4)</f>
        <v>0</v>
      </c>
      <c r="X34" s="433" cm="1">
        <f t="array" ref="X34">_xlfn.IFNA(INDEX('Data manipulation'!$C$23:$N$128,MATCH($S34&amp;$R34,'Data manipulation'!$B$23:$B$128&amp;'Data manipulation'!$A$23:$A$128,0),MATCH($U34,'Data manipulation'!$C$22:$N$22,0))/1000,0)*SUMIFS('Regional split'!$F$4:$F$6,'Regional split'!$B$4:$B$6,X$4)</f>
        <v>0</v>
      </c>
      <c r="Y34" s="444">
        <f>V34*J34</f>
        <v>245.83807074083413</v>
      </c>
      <c r="Z34" s="251">
        <f t="shared" si="46"/>
        <v>0</v>
      </c>
      <c r="AA34" s="445">
        <f t="shared" si="47"/>
        <v>0</v>
      </c>
    </row>
    <row r="35" spans="2:27" ht="14.5">
      <c r="B35" s="233" t="str">
        <f t="shared" si="48"/>
        <v>CATGSLE1</v>
      </c>
      <c r="C35" s="233" t="str">
        <f t="shared" si="48"/>
        <v>Residential Appliances Technology   - Gasoline - Existing 1</v>
      </c>
      <c r="D35" s="233" t="str">
        <f t="shared" si="48"/>
        <v>COMGSL</v>
      </c>
      <c r="E35" s="233" t="str">
        <f t="shared" si="48"/>
        <v>CADEM</v>
      </c>
      <c r="F35" s="259">
        <v>2018</v>
      </c>
      <c r="G35" s="250">
        <f t="shared" si="43"/>
        <v>0</v>
      </c>
      <c r="H35" s="250">
        <f t="shared" si="43"/>
        <v>0</v>
      </c>
      <c r="I35" s="250">
        <f t="shared" si="43"/>
        <v>0</v>
      </c>
      <c r="J35" s="463">
        <f t="shared" si="51"/>
        <v>0.15</v>
      </c>
      <c r="K35" s="463">
        <f t="shared" si="51"/>
        <v>0.15</v>
      </c>
      <c r="L35" s="463">
        <f t="shared" si="51"/>
        <v>0.15</v>
      </c>
      <c r="M35" s="244">
        <f t="shared" si="44"/>
        <v>3.1536000000000002E-2</v>
      </c>
      <c r="N35" s="459">
        <v>0.8</v>
      </c>
      <c r="O35" s="245">
        <v>30</v>
      </c>
      <c r="P35" s="227"/>
      <c r="Q35" s="227"/>
      <c r="R35" s="268" t="str">
        <f>R33</f>
        <v>Appliances</v>
      </c>
      <c r="S35" s="595" t="s">
        <v>859</v>
      </c>
      <c r="T35" s="254" t="s">
        <v>729</v>
      </c>
      <c r="U35" s="246">
        <v>2018</v>
      </c>
      <c r="V35" s="433" cm="1">
        <f t="array" ref="V35">_xlfn.IFNA(INDEX('Data manipulation'!$C$23:$N$128,MATCH($S35&amp;$R35,'Data manipulation'!$B$23:$B$128&amp;'Data manipulation'!$A$23:$A$128,0),MATCH($U35,'Data manipulation'!$C$22:$N$22,0))/1000,0)*SUMIFS('Regional split'!$F$4:$F$6,'Regional split'!$B$4:$B$6,V$4)</f>
        <v>0</v>
      </c>
      <c r="W35" s="433" cm="1">
        <f t="array" ref="W35">_xlfn.IFNA(INDEX('Data manipulation'!$C$23:$N$128,MATCH($S35&amp;$R35,'Data manipulation'!$B$23:$B$128&amp;'Data manipulation'!$A$23:$A$128,0),MATCH($U35,'Data manipulation'!$C$22:$N$22,0))/1000,0)*SUMIFS('Regional split'!$F$4:$F$6,'Regional split'!$B$4:$B$6,W$4)</f>
        <v>0</v>
      </c>
      <c r="X35" s="433" cm="1">
        <f t="array" ref="X35">_xlfn.IFNA(INDEX('Data manipulation'!$C$23:$N$128,MATCH($S35&amp;$R35,'Data manipulation'!$B$23:$B$128&amp;'Data manipulation'!$A$23:$A$128,0),MATCH($U35,'Data manipulation'!$C$22:$N$22,0))/1000,0)*SUMIFS('Regional split'!$F$4:$F$6,'Regional split'!$B$4:$B$6,X$4)</f>
        <v>0</v>
      </c>
      <c r="Y35" s="444">
        <f t="shared" ref="Y35" si="55">V35*J35</f>
        <v>0</v>
      </c>
      <c r="Z35" s="251">
        <f t="shared" si="46"/>
        <v>0</v>
      </c>
      <c r="AA35" s="445">
        <f t="shared" si="47"/>
        <v>0</v>
      </c>
    </row>
    <row r="36" spans="2:27" ht="14.5">
      <c r="B36" s="233" t="str">
        <f t="shared" ref="B36:E36" si="56">B34</f>
        <v>CATELCAE1</v>
      </c>
      <c r="C36" s="233" t="str">
        <f t="shared" si="56"/>
        <v>Residential Appliances Technology   - Electricity Appliances - Existing 1</v>
      </c>
      <c r="D36" s="233" t="str">
        <f t="shared" si="56"/>
        <v>COMELCA</v>
      </c>
      <c r="E36" s="233" t="str">
        <f t="shared" si="56"/>
        <v>CADEM</v>
      </c>
      <c r="F36" s="570">
        <f>F34+O36</f>
        <v>2048</v>
      </c>
      <c r="G36" s="250">
        <v>0</v>
      </c>
      <c r="H36" s="250">
        <v>0</v>
      </c>
      <c r="I36" s="250">
        <v>0</v>
      </c>
      <c r="J36" s="463">
        <f t="shared" ref="J36:L36" si="57">J34</f>
        <v>1</v>
      </c>
      <c r="K36" s="463">
        <f t="shared" si="57"/>
        <v>1</v>
      </c>
      <c r="L36" s="463">
        <f t="shared" si="57"/>
        <v>1</v>
      </c>
      <c r="M36" s="244">
        <f t="shared" si="44"/>
        <v>3.1536000000000002E-2</v>
      </c>
      <c r="N36" s="459">
        <v>0.8</v>
      </c>
      <c r="O36" s="245">
        <v>30</v>
      </c>
      <c r="P36" s="227"/>
      <c r="Q36" s="227"/>
      <c r="R36" s="268" t="str">
        <f>R35</f>
        <v>Appliances</v>
      </c>
      <c r="S36" s="227" t="s">
        <v>73</v>
      </c>
      <c r="T36" s="254" t="s">
        <v>170</v>
      </c>
      <c r="U36" s="246">
        <v>2018</v>
      </c>
      <c r="V36" s="433" cm="1">
        <f t="array" ref="V36">_xlfn.IFNA(INDEX('Data manipulation'!$C$23:$N$128,MATCH($S36&amp;$R36,'Data manipulation'!$B$23:$B$128&amp;'Data manipulation'!$A$23:$A$128,0),MATCH($U36,'Data manipulation'!$C$22:$N$22,0))/1000,0)*SUMIFS('Regional split'!$F$4:$F$6,'Regional split'!$B$4:$B$6,V$4)</f>
        <v>245.83807074083413</v>
      </c>
      <c r="W36" s="433" cm="1">
        <f t="array" ref="W36">_xlfn.IFNA(INDEX('Data manipulation'!$C$23:$N$128,MATCH($S36&amp;$R36,'Data manipulation'!$B$23:$B$128&amp;'Data manipulation'!$A$23:$A$128,0),MATCH($U36,'Data manipulation'!$C$22:$N$22,0))/1000,0)*SUMIFS('Regional split'!$F$4:$F$6,'Regional split'!$B$4:$B$6,W$4)</f>
        <v>0</v>
      </c>
      <c r="X36" s="433" cm="1">
        <f t="array" ref="X36">_xlfn.IFNA(INDEX('Data manipulation'!$C$23:$N$128,MATCH($S36&amp;$R36,'Data manipulation'!$B$23:$B$128&amp;'Data manipulation'!$A$23:$A$128,0),MATCH($U36,'Data manipulation'!$C$22:$N$22,0))/1000,0)*SUMIFS('Regional split'!$F$4:$F$6,'Regional split'!$B$4:$B$6,X$4)</f>
        <v>0</v>
      </c>
      <c r="Y36" s="444">
        <f t="shared" ref="Y36:Y37" si="58">V36*J36</f>
        <v>245.83807074083413</v>
      </c>
      <c r="Z36" s="251">
        <f t="shared" ref="Z36:Z37" si="59">W36*K36</f>
        <v>0</v>
      </c>
      <c r="AA36" s="445">
        <f t="shared" ref="AA36:AA37" si="60">X36*L36</f>
        <v>0</v>
      </c>
    </row>
    <row r="37" spans="2:27" ht="14.5">
      <c r="B37" s="233" t="str">
        <f t="shared" ref="B37:E37" si="61">B35</f>
        <v>CATGSLE1</v>
      </c>
      <c r="C37" s="233" t="str">
        <f t="shared" si="61"/>
        <v>Residential Appliances Technology   - Gasoline - Existing 1</v>
      </c>
      <c r="D37" s="233" t="str">
        <f t="shared" si="61"/>
        <v>COMGSL</v>
      </c>
      <c r="E37" s="233" t="str">
        <f t="shared" si="61"/>
        <v>CADEM</v>
      </c>
      <c r="F37" s="570">
        <f>F35+O37</f>
        <v>2048</v>
      </c>
      <c r="G37" s="250">
        <v>0</v>
      </c>
      <c r="H37" s="250">
        <v>0</v>
      </c>
      <c r="I37" s="250">
        <v>0</v>
      </c>
      <c r="J37" s="463">
        <f t="shared" ref="J37:L37" si="62">J35</f>
        <v>0.15</v>
      </c>
      <c r="K37" s="463">
        <f t="shared" si="62"/>
        <v>0.15</v>
      </c>
      <c r="L37" s="463">
        <f t="shared" si="62"/>
        <v>0.15</v>
      </c>
      <c r="M37" s="244">
        <f t="shared" si="44"/>
        <v>3.1536000000000002E-2</v>
      </c>
      <c r="N37" s="459">
        <v>0.8</v>
      </c>
      <c r="O37" s="245">
        <v>30</v>
      </c>
      <c r="P37" s="227"/>
      <c r="Q37" s="227"/>
      <c r="R37" s="268" t="str">
        <f>R36</f>
        <v>Appliances</v>
      </c>
      <c r="S37" s="595" t="s">
        <v>859</v>
      </c>
      <c r="T37" s="254" t="s">
        <v>729</v>
      </c>
      <c r="U37" s="246">
        <v>2018</v>
      </c>
      <c r="V37" s="433" cm="1">
        <f t="array" ref="V37">_xlfn.IFNA(INDEX('Data manipulation'!$C$23:$N$128,MATCH($S37&amp;$R37,'Data manipulation'!$B$23:$B$128&amp;'Data manipulation'!$A$23:$A$128,0),MATCH($U37,'Data manipulation'!$C$22:$N$22,0))/1000,0)*SUMIFS('Regional split'!$F$4:$F$6,'Regional split'!$B$4:$B$6,V$4)</f>
        <v>0</v>
      </c>
      <c r="W37" s="433" cm="1">
        <f t="array" ref="W37">_xlfn.IFNA(INDEX('Data manipulation'!$C$23:$N$128,MATCH($S37&amp;$R37,'Data manipulation'!$B$23:$B$128&amp;'Data manipulation'!$A$23:$A$128,0),MATCH($U37,'Data manipulation'!$C$22:$N$22,0))/1000,0)*SUMIFS('Regional split'!$F$4:$F$6,'Regional split'!$B$4:$B$6,W$4)</f>
        <v>0</v>
      </c>
      <c r="X37" s="433" cm="1">
        <f t="array" ref="X37">_xlfn.IFNA(INDEX('Data manipulation'!$C$23:$N$128,MATCH($S37&amp;$R37,'Data manipulation'!$B$23:$B$128&amp;'Data manipulation'!$A$23:$A$128,0),MATCH($U37,'Data manipulation'!$C$22:$N$22,0))/1000,0)*SUMIFS('Regional split'!$F$4:$F$6,'Regional split'!$B$4:$B$6,X$4)</f>
        <v>0</v>
      </c>
      <c r="Y37" s="444">
        <f t="shared" si="58"/>
        <v>0</v>
      </c>
      <c r="Z37" s="251">
        <f t="shared" si="59"/>
        <v>0</v>
      </c>
      <c r="AA37" s="445">
        <f t="shared" si="60"/>
        <v>0</v>
      </c>
    </row>
    <row r="38" spans="2:27" ht="13">
      <c r="B38" s="227"/>
      <c r="C38" s="227"/>
    </row>
    <row r="39" spans="2:27" ht="13">
      <c r="B39" s="227"/>
      <c r="C39" s="227"/>
    </row>
    <row r="40" spans="2:27" ht="21.5" thickBot="1">
      <c r="B40" s="504" t="s">
        <v>740</v>
      </c>
      <c r="C40" s="227"/>
      <c r="D40" s="228"/>
      <c r="E40" s="229" t="s">
        <v>162</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174</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7" t="s">
        <v>956</v>
      </c>
      <c r="W42" s="438" t="s">
        <v>969</v>
      </c>
      <c r="X42" s="439" t="s">
        <v>972</v>
      </c>
      <c r="Y42" s="437" t="s">
        <v>956</v>
      </c>
      <c r="Z42" s="438" t="s">
        <v>969</v>
      </c>
      <c r="AA42" s="439" t="s">
        <v>972</v>
      </c>
    </row>
    <row r="43" spans="2:27" ht="26">
      <c r="B43" s="238" t="s">
        <v>2</v>
      </c>
      <c r="C43" s="238" t="s">
        <v>26</v>
      </c>
      <c r="D43" s="238" t="s">
        <v>14</v>
      </c>
      <c r="E43" s="238" t="s">
        <v>15</v>
      </c>
      <c r="F43" s="422" t="s">
        <v>94</v>
      </c>
      <c r="G43" s="239" t="s">
        <v>944</v>
      </c>
      <c r="H43" s="239" t="s">
        <v>957</v>
      </c>
      <c r="I43" s="239" t="s">
        <v>973</v>
      </c>
      <c r="J43" s="240" t="s">
        <v>952</v>
      </c>
      <c r="K43" s="240" t="s">
        <v>965</v>
      </c>
      <c r="L43" s="240" t="s">
        <v>974</v>
      </c>
      <c r="M43" s="238" t="s">
        <v>0</v>
      </c>
      <c r="N43" s="238" t="s">
        <v>165</v>
      </c>
      <c r="O43" s="239" t="s">
        <v>93</v>
      </c>
      <c r="P43" s="227"/>
      <c r="Q43" s="227"/>
      <c r="R43" s="227"/>
      <c r="S43" s="227"/>
      <c r="T43" s="227"/>
      <c r="U43" s="227"/>
      <c r="V43" s="273" t="s">
        <v>75</v>
      </c>
      <c r="W43" s="272" t="s">
        <v>75</v>
      </c>
      <c r="X43" s="440" t="s">
        <v>75</v>
      </c>
      <c r="Y43" s="273" t="s">
        <v>71</v>
      </c>
      <c r="Z43" s="272" t="s">
        <v>71</v>
      </c>
      <c r="AA43" s="440" t="s">
        <v>71</v>
      </c>
    </row>
    <row r="44" spans="2:27" ht="21.5" thickBot="1">
      <c r="B44" s="242" t="s">
        <v>27</v>
      </c>
      <c r="C44" s="242"/>
      <c r="D44" s="242"/>
      <c r="E44" s="242"/>
      <c r="F44" s="243"/>
      <c r="G44" s="243" t="s">
        <v>65</v>
      </c>
      <c r="H44" s="243" t="s">
        <v>65</v>
      </c>
      <c r="I44" s="243" t="s">
        <v>65</v>
      </c>
      <c r="J44" s="243" t="s">
        <v>69</v>
      </c>
      <c r="K44" s="243" t="s">
        <v>69</v>
      </c>
      <c r="L44" s="243" t="s">
        <v>69</v>
      </c>
      <c r="M44" s="242"/>
      <c r="N44" s="242" t="s">
        <v>756</v>
      </c>
      <c r="O44" s="242" t="s">
        <v>94</v>
      </c>
      <c r="P44" s="227"/>
      <c r="Q44" s="227"/>
      <c r="R44" s="227"/>
      <c r="S44" s="227"/>
      <c r="T44" s="227"/>
      <c r="U44" s="227" t="s">
        <v>94</v>
      </c>
      <c r="V44" s="275" t="s">
        <v>48</v>
      </c>
      <c r="W44" s="458" t="s">
        <v>48</v>
      </c>
      <c r="X44" s="441" t="s">
        <v>48</v>
      </c>
      <c r="Y44" s="275" t="s">
        <v>70</v>
      </c>
      <c r="Z44" s="274" t="s">
        <v>70</v>
      </c>
      <c r="AA44" s="441" t="s">
        <v>70</v>
      </c>
    </row>
    <row r="45" spans="2:27" ht="15" thickBot="1">
      <c r="B45" s="233" t="str">
        <f>Processes!D45</f>
        <v>CWTLPGE1</v>
      </c>
      <c r="C45" s="233" t="str">
        <f>Processes!E45</f>
        <v>Residential Water Hot Technology   - LPG - Existing 1</v>
      </c>
      <c r="D45" s="230" t="str">
        <f>Commodities!$C$20</f>
        <v>COMLPG</v>
      </c>
      <c r="E45" s="230" t="str">
        <f>Commodities!$C$15</f>
        <v>CWDEM</v>
      </c>
      <c r="F45" s="230">
        <v>2010</v>
      </c>
      <c r="G45" s="250">
        <f>ROUNDUP(Y45/($M45*$N45)*$G$2,2)</f>
        <v>0</v>
      </c>
      <c r="H45" s="250">
        <f t="shared" ref="H45:H68" si="63">ROUNDUP(Z45/($M45*$N45)*$G$2,2)</f>
        <v>0</v>
      </c>
      <c r="I45" s="250">
        <f t="shared" ref="I45:I68" si="64">ROUNDUP(AA45/($M45*$N45)*$G$2,2)</f>
        <v>0</v>
      </c>
      <c r="J45" s="463">
        <v>0.95</v>
      </c>
      <c r="K45" s="463">
        <v>0.95</v>
      </c>
      <c r="L45" s="463">
        <v>0.95</v>
      </c>
      <c r="M45" s="244">
        <f t="shared" ref="M45:M76" si="65">31.536/1000</f>
        <v>3.1536000000000002E-2</v>
      </c>
      <c r="N45" s="459">
        <v>1</v>
      </c>
      <c r="O45" s="245">
        <v>30</v>
      </c>
      <c r="P45" s="227"/>
      <c r="Q45" s="268"/>
      <c r="R45" s="268" t="str">
        <f>B40</f>
        <v>Hot Water</v>
      </c>
      <c r="S45" s="594" t="s">
        <v>838</v>
      </c>
      <c r="T45" s="246" t="s">
        <v>771</v>
      </c>
      <c r="U45" s="246">
        <v>2010</v>
      </c>
      <c r="V45" s="433" cm="1">
        <f t="array" ref="V45">_xlfn.IFNA(INDEX('Data manipulation'!$C$23:$N$128,MATCH($S45&amp;$R45,'Data manipulation'!$B$23:$B$128&amp;'Data manipulation'!$A$23:$A$128,0),MATCH($U45,'Data manipulation'!$C$22:$N$22,0))/1000,0)*SUMIFS('Regional split'!$F$4:$F$6,'Regional split'!$B$4:$B$6,V$4)</f>
        <v>0</v>
      </c>
      <c r="W45" s="433" cm="1">
        <f t="array" ref="W45">_xlfn.IFNA(INDEX('Data manipulation'!$C$23:$N$128,MATCH($S45&amp;$R45,'Data manipulation'!$B$23:$B$128&amp;'Data manipulation'!$A$23:$A$128,0),MATCH($U45,'Data manipulation'!$C$22:$N$22,0))/1000,0)*SUMIFS('Regional split'!$F$4:$F$6,'Regional split'!$B$4:$B$6,W$4)</f>
        <v>0</v>
      </c>
      <c r="X45" s="433" cm="1">
        <f t="array" ref="X45">_xlfn.IFNA(INDEX('Data manipulation'!$C$23:$N$128,MATCH($S45&amp;$R45,'Data manipulation'!$B$23:$B$128&amp;'Data manipulation'!$A$23:$A$128,0),MATCH($U45,'Data manipulation'!$C$22:$N$22,0))/1000,0)*SUMIFS('Regional split'!$F$4:$F$6,'Regional split'!$B$4:$B$6,X$4)</f>
        <v>0</v>
      </c>
      <c r="Y45" s="444">
        <f t="shared" ref="Y45" si="66">V45*J45</f>
        <v>0</v>
      </c>
      <c r="Z45" s="251">
        <f t="shared" ref="Z45:Z62" si="67">W45*K45</f>
        <v>0</v>
      </c>
      <c r="AA45" s="445">
        <f t="shared" ref="AA45:AA62" si="68">X45*L45</f>
        <v>0</v>
      </c>
    </row>
    <row r="46" spans="2:27" ht="15" customHeight="1">
      <c r="B46" s="233" t="str">
        <f>Processes!D46</f>
        <v>CWTNGAE1</v>
      </c>
      <c r="C46" s="233" t="str">
        <f>Processes!E46</f>
        <v>Residential Water Hot Technology   - Natural Gas - Existing 1</v>
      </c>
      <c r="D46" s="230" t="str">
        <f>Commodities!$C$18&amp;","&amp;Commodities!$C$19</f>
        <v>COMNGA,COMBGA</v>
      </c>
      <c r="E46" s="230" t="str">
        <f>Commodities!$C$15</f>
        <v>CWDEM</v>
      </c>
      <c r="F46" s="259">
        <v>2010</v>
      </c>
      <c r="G46" s="250">
        <f t="shared" ref="G46:G68" si="69">ROUNDUP(Y46/($M46*$N46)*$G$2,2)</f>
        <v>0</v>
      </c>
      <c r="H46" s="250">
        <f t="shared" si="63"/>
        <v>0</v>
      </c>
      <c r="I46" s="250">
        <f t="shared" si="64"/>
        <v>0</v>
      </c>
      <c r="J46" s="462">
        <v>0.72</v>
      </c>
      <c r="K46" s="462">
        <v>0.72</v>
      </c>
      <c r="L46" s="462">
        <v>0.72</v>
      </c>
      <c r="M46" s="244">
        <f t="shared" si="65"/>
        <v>3.1536000000000002E-2</v>
      </c>
      <c r="N46" s="459">
        <v>1</v>
      </c>
      <c r="O46" s="245">
        <v>30</v>
      </c>
      <c r="P46" s="227"/>
      <c r="Q46" s="268"/>
      <c r="R46" s="268" t="str">
        <f t="shared" ref="R46:R52" si="70">R45</f>
        <v>Hot Water</v>
      </c>
      <c r="S46" s="595" t="s">
        <v>860</v>
      </c>
      <c r="T46" s="246" t="s">
        <v>168</v>
      </c>
      <c r="U46" s="246">
        <v>2010</v>
      </c>
      <c r="V46" s="433" cm="1">
        <f t="array" ref="V46">_xlfn.IFNA(INDEX('Data manipulation'!$C$23:$N$128,MATCH($S46&amp;$R46,'Data manipulation'!$B$23:$B$128&amp;'Data manipulation'!$A$23:$A$128,0),MATCH($U46,'Data manipulation'!$C$22:$N$22,0))/1000,0)*SUMIFS('Regional split'!$F$4:$F$6,'Regional split'!$B$4:$B$6,V$4)</f>
        <v>0</v>
      </c>
      <c r="W46" s="433" cm="1">
        <f t="array" ref="W46">_xlfn.IFNA(INDEX('Data manipulation'!$C$23:$N$128,MATCH($S46&amp;$R46,'Data manipulation'!$B$23:$B$128&amp;'Data manipulation'!$A$23:$A$128,0),MATCH($U46,'Data manipulation'!$C$22:$N$22,0))/1000,0)*SUMIFS('Regional split'!$F$4:$F$6,'Regional split'!$B$4:$B$6,W$4)</f>
        <v>0</v>
      </c>
      <c r="X46" s="433" cm="1">
        <f t="array" ref="X46">_xlfn.IFNA(INDEX('Data manipulation'!$C$23:$N$128,MATCH($S46&amp;$R46,'Data manipulation'!$B$23:$B$128&amp;'Data manipulation'!$A$23:$A$128,0),MATCH($U46,'Data manipulation'!$C$22:$N$22,0))/1000,0)*SUMIFS('Regional split'!$F$4:$F$6,'Regional split'!$B$4:$B$6,X$4)</f>
        <v>0</v>
      </c>
      <c r="Y46" s="444">
        <f t="shared" ref="Y46:Y53" si="71">V46*J46</f>
        <v>0</v>
      </c>
      <c r="Z46" s="251">
        <f t="shared" si="67"/>
        <v>0</v>
      </c>
      <c r="AA46" s="445">
        <f t="shared" si="68"/>
        <v>0</v>
      </c>
    </row>
    <row r="47" spans="2:27" ht="15" customHeight="1">
      <c r="B47" s="233" t="str">
        <f>Processes!D47</f>
        <v>CWTDSLE1</v>
      </c>
      <c r="C47" s="233" t="str">
        <f>Processes!E47</f>
        <v>Residential Water Hot Technology   - Diesel - Existing 1</v>
      </c>
      <c r="D47" s="230" t="str">
        <f>Commodities!$C$21&amp;","&amp;Commodities!C38</f>
        <v>COMDSL,COMDSB</v>
      </c>
      <c r="E47" s="230" t="str">
        <f>Commodities!$C$15</f>
        <v>CWDEM</v>
      </c>
      <c r="F47" s="259">
        <v>2010</v>
      </c>
      <c r="G47" s="250">
        <f t="shared" ref="G47" si="72">ROUNDUP(Y47/($M47*$N47)*$G$2,2)</f>
        <v>0</v>
      </c>
      <c r="H47" s="250">
        <f t="shared" ref="H47" si="73">ROUNDUP(Z47/($M47*$N47)*$G$2,2)</f>
        <v>0</v>
      </c>
      <c r="I47" s="250">
        <f t="shared" ref="I47" si="74">ROUNDUP(AA47/($M47*$N47)*$G$2,2)</f>
        <v>0</v>
      </c>
      <c r="J47" s="463">
        <v>0.71</v>
      </c>
      <c r="K47" s="463">
        <v>0.71</v>
      </c>
      <c r="L47" s="463">
        <v>0.71</v>
      </c>
      <c r="M47" s="244">
        <f t="shared" si="65"/>
        <v>3.1536000000000002E-2</v>
      </c>
      <c r="N47" s="459">
        <v>1</v>
      </c>
      <c r="O47" s="245">
        <v>30</v>
      </c>
      <c r="P47" s="227"/>
      <c r="Q47" s="268"/>
      <c r="R47" s="268" t="str">
        <f t="shared" si="70"/>
        <v>Hot Water</v>
      </c>
      <c r="S47" s="595" t="s">
        <v>859</v>
      </c>
      <c r="T47" s="246" t="s">
        <v>869</v>
      </c>
      <c r="U47" s="246">
        <v>2010</v>
      </c>
      <c r="V47" s="433" cm="1">
        <f t="array" ref="V47">_xlfn.IFNA(INDEX('Data manipulation'!$C$23:$N$128,MATCH($S47&amp;$R47,'Data manipulation'!$B$23:$B$128&amp;'Data manipulation'!$A$23:$A$128,0),MATCH($U47,'Data manipulation'!$C$22:$N$22,0))/1000,0)*SUMIFS('Regional split'!$F$4:$F$6,'Regional split'!$B$4:$B$6,V$4)</f>
        <v>0</v>
      </c>
      <c r="W47" s="433" cm="1">
        <f t="array" ref="W47">_xlfn.IFNA(INDEX('Data manipulation'!$C$23:$N$128,MATCH($S47&amp;$R47,'Data manipulation'!$B$23:$B$128&amp;'Data manipulation'!$A$23:$A$128,0),MATCH($U47,'Data manipulation'!$C$22:$N$22,0))/1000,0)*SUMIFS('Regional split'!$F$4:$F$6,'Regional split'!$B$4:$B$6,W$4)</f>
        <v>0</v>
      </c>
      <c r="X47" s="433" cm="1">
        <f t="array" ref="X47">_xlfn.IFNA(INDEX('Data manipulation'!$C$23:$N$128,MATCH($S47&amp;$R47,'Data manipulation'!$B$23:$B$128&amp;'Data manipulation'!$A$23:$A$128,0),MATCH($U47,'Data manipulation'!$C$22:$N$22,0))/1000,0)*SUMIFS('Regional split'!$F$4:$F$6,'Regional split'!$B$4:$B$6,X$4)</f>
        <v>0</v>
      </c>
      <c r="Y47" s="444">
        <f t="shared" si="71"/>
        <v>0</v>
      </c>
      <c r="Z47" s="251">
        <f t="shared" ref="Z47" si="75">W47*K47</f>
        <v>0</v>
      </c>
      <c r="AA47" s="445">
        <f t="shared" ref="AA47" si="76">X47*L47</f>
        <v>0</v>
      </c>
    </row>
    <row r="48" spans="2:27" ht="15" customHeight="1">
      <c r="B48" s="233" t="str">
        <f>Processes!D48</f>
        <v>CWTSOLE1</v>
      </c>
      <c r="C48" s="233" t="str">
        <f>Processes!E48</f>
        <v>Residential Water Hot Technology   - Solar - Existing 1</v>
      </c>
      <c r="D48" s="230" t="str">
        <f>Commodities!$C$27</f>
        <v>COMSOL</v>
      </c>
      <c r="E48" s="230" t="str">
        <f>Commodities!$C$15</f>
        <v>CWDEM</v>
      </c>
      <c r="F48" s="259">
        <v>2010</v>
      </c>
      <c r="G48" s="250">
        <f t="shared" ref="G48" si="77">ROUNDUP(Y48/($M48*$N48)*$G$2,2)</f>
        <v>0</v>
      </c>
      <c r="H48" s="250">
        <f t="shared" ref="H48" si="78">ROUNDUP(Z48/($M48*$N48)*$G$2,2)</f>
        <v>0</v>
      </c>
      <c r="I48" s="250">
        <f t="shared" ref="I48" si="79">ROUNDUP(AA48/($M48*$N48)*$G$2,2)</f>
        <v>0</v>
      </c>
      <c r="J48" s="463">
        <v>1</v>
      </c>
      <c r="K48" s="463">
        <v>1</v>
      </c>
      <c r="L48" s="463">
        <v>1</v>
      </c>
      <c r="M48" s="244">
        <f t="shared" si="65"/>
        <v>3.1536000000000002E-2</v>
      </c>
      <c r="N48" s="459">
        <v>1</v>
      </c>
      <c r="O48" s="245">
        <v>30</v>
      </c>
      <c r="P48" s="227"/>
      <c r="Q48" s="268"/>
      <c r="R48" s="268" t="str">
        <f t="shared" si="70"/>
        <v>Hot Water</v>
      </c>
      <c r="S48" s="584" t="s">
        <v>834</v>
      </c>
      <c r="T48" s="246" t="s">
        <v>169</v>
      </c>
      <c r="U48" s="246">
        <v>2010</v>
      </c>
      <c r="V48" s="433" cm="1">
        <f t="array" ref="V48">_xlfn.IFNA(INDEX('Data manipulation'!$C$23:$N$128,MATCH($S48&amp;$R48,'Data manipulation'!$B$23:$B$128&amp;'Data manipulation'!$A$23:$A$128,0),MATCH($U48,'Data manipulation'!$C$22:$N$22,0))/1000,0)*SUMIFS('Regional split'!$F$4:$F$6,'Regional split'!$B$4:$B$6,V$4)</f>
        <v>0</v>
      </c>
      <c r="W48" s="433" cm="1">
        <f t="array" ref="W48">_xlfn.IFNA(INDEX('Data manipulation'!$C$23:$N$128,MATCH($S48&amp;$R48,'Data manipulation'!$B$23:$B$128&amp;'Data manipulation'!$A$23:$A$128,0),MATCH($U48,'Data manipulation'!$C$22:$N$22,0))/1000,0)*SUMIFS('Regional split'!$F$4:$F$6,'Regional split'!$B$4:$B$6,W$4)</f>
        <v>0</v>
      </c>
      <c r="X48" s="433" cm="1">
        <f t="array" ref="X48">_xlfn.IFNA(INDEX('Data manipulation'!$C$23:$N$128,MATCH($S48&amp;$R48,'Data manipulation'!$B$23:$B$128&amp;'Data manipulation'!$A$23:$A$128,0),MATCH($U48,'Data manipulation'!$C$22:$N$22,0))/1000,0)*SUMIFS('Regional split'!$F$4:$F$6,'Regional split'!$B$4:$B$6,X$4)</f>
        <v>0</v>
      </c>
      <c r="Y48" s="444">
        <f t="shared" si="71"/>
        <v>0</v>
      </c>
      <c r="Z48" s="251">
        <f t="shared" ref="Z48" si="80">W48*K48</f>
        <v>0</v>
      </c>
      <c r="AA48" s="445">
        <f t="shared" ref="AA48" si="81">X48*L48</f>
        <v>0</v>
      </c>
    </row>
    <row r="49" spans="2:27" ht="15" customHeight="1">
      <c r="B49" s="233" t="str">
        <f>Processes!D49</f>
        <v>CWTELCHE1</v>
      </c>
      <c r="C49" s="233" t="str">
        <f>Processes!E49</f>
        <v>Residential Water Hot Technology   - Electricity Heating - Existing 1</v>
      </c>
      <c r="D49" s="230" t="str">
        <f>Commodities!$C$29</f>
        <v>COMELCH</v>
      </c>
      <c r="E49" s="230" t="str">
        <f>Commodities!$C$15</f>
        <v>CWDEM</v>
      </c>
      <c r="F49" s="259">
        <v>2010</v>
      </c>
      <c r="G49" s="250">
        <f t="shared" ref="G49" si="82">ROUNDUP(Y49/($M49*$N49)*$G$2,2)</f>
        <v>0</v>
      </c>
      <c r="H49" s="250">
        <f t="shared" ref="H49" si="83">ROUNDUP(Z49/($M49*$N49)*$G$2,2)</f>
        <v>0</v>
      </c>
      <c r="I49" s="250">
        <f t="shared" ref="I49" si="84">ROUNDUP(AA49/($M49*$N49)*$G$2,2)</f>
        <v>0</v>
      </c>
      <c r="J49" s="463">
        <v>2.3199999999999998</v>
      </c>
      <c r="K49" s="463">
        <v>2.3199999999999998</v>
      </c>
      <c r="L49" s="463">
        <v>2.3199999999999998</v>
      </c>
      <c r="M49" s="244">
        <f t="shared" si="65"/>
        <v>3.1536000000000002E-2</v>
      </c>
      <c r="N49" s="459">
        <v>1</v>
      </c>
      <c r="O49" s="245">
        <v>30</v>
      </c>
      <c r="P49" s="227"/>
      <c r="Q49" s="268"/>
      <c r="R49" s="268" t="str">
        <f t="shared" si="70"/>
        <v>Hot Water</v>
      </c>
      <c r="S49" s="584" t="s">
        <v>833</v>
      </c>
      <c r="T49" s="246" t="s">
        <v>870</v>
      </c>
      <c r="U49" s="246">
        <v>2010</v>
      </c>
      <c r="V49" s="433" cm="1">
        <f t="array" ref="V49">_xlfn.IFNA(INDEX('Data manipulation'!$C$23:$N$128,MATCH($S49&amp;$R49,'Data manipulation'!$B$23:$B$128&amp;'Data manipulation'!$A$23:$A$128,0),MATCH($U49,'Data manipulation'!$C$22:$N$22,0))/1000,0)*SUMIFS('Regional split'!$F$4:$F$6,'Regional split'!$B$4:$B$6,V$4)</f>
        <v>0</v>
      </c>
      <c r="W49" s="433" cm="1">
        <f t="array" ref="W49">_xlfn.IFNA(INDEX('Data manipulation'!$C$23:$N$128,MATCH($S49&amp;$R49,'Data manipulation'!$B$23:$B$128&amp;'Data manipulation'!$A$23:$A$128,0),MATCH($U49,'Data manipulation'!$C$22:$N$22,0))/1000,0)*SUMIFS('Regional split'!$F$4:$F$6,'Regional split'!$B$4:$B$6,W$4)</f>
        <v>0</v>
      </c>
      <c r="X49" s="433" cm="1">
        <f t="array" ref="X49">_xlfn.IFNA(INDEX('Data manipulation'!$C$23:$N$128,MATCH($S49&amp;$R49,'Data manipulation'!$B$23:$B$128&amp;'Data manipulation'!$A$23:$A$128,0),MATCH($U49,'Data manipulation'!$C$22:$N$22,0))/1000,0)*SUMIFS('Regional split'!$F$4:$F$6,'Regional split'!$B$4:$B$6,X$4)</f>
        <v>0</v>
      </c>
      <c r="Y49" s="444">
        <f t="shared" si="71"/>
        <v>0</v>
      </c>
      <c r="Z49" s="251">
        <f t="shared" ref="Z49" si="85">W49*K49</f>
        <v>0</v>
      </c>
      <c r="AA49" s="445">
        <f t="shared" ref="AA49" si="86">X49*L49</f>
        <v>0</v>
      </c>
    </row>
    <row r="50" spans="2:27" ht="15" customHeight="1">
      <c r="B50" s="233" t="str">
        <f>Processes!D50</f>
        <v>CWTFIWE1</v>
      </c>
      <c r="C50" s="233" t="str">
        <f>Processes!E50</f>
        <v>Residential Water Hot Technology   - Fire wood - Existing 1</v>
      </c>
      <c r="D50" s="230" t="str">
        <f>Commodities!$C$24</f>
        <v>COMFIW</v>
      </c>
      <c r="E50" s="230" t="str">
        <f>Commodities!$C$15</f>
        <v>CWDEM</v>
      </c>
      <c r="F50" s="259">
        <v>2010</v>
      </c>
      <c r="G50" s="250">
        <f t="shared" ref="G50" si="87">ROUNDUP(Y50/($M50*$N50)*$G$2,2)</f>
        <v>0</v>
      </c>
      <c r="H50" s="250">
        <f t="shared" ref="H50" si="88">ROUNDUP(Z50/($M50*$N50)*$G$2,2)</f>
        <v>0</v>
      </c>
      <c r="I50" s="250">
        <f t="shared" ref="I50" si="89">ROUNDUP(AA50/($M50*$N50)*$G$2,2)</f>
        <v>0</v>
      </c>
      <c r="J50" s="463">
        <v>0.65</v>
      </c>
      <c r="K50" s="463">
        <v>0.65</v>
      </c>
      <c r="L50" s="463">
        <v>0.65</v>
      </c>
      <c r="M50" s="244">
        <f t="shared" si="65"/>
        <v>3.1536000000000002E-2</v>
      </c>
      <c r="N50" s="459">
        <v>1</v>
      </c>
      <c r="O50" s="245">
        <v>30</v>
      </c>
      <c r="P50" s="227"/>
      <c r="Q50" s="268"/>
      <c r="R50" s="268" t="str">
        <f t="shared" si="70"/>
        <v>Hot Water</v>
      </c>
      <c r="S50" s="584" t="s">
        <v>832</v>
      </c>
      <c r="T50" s="246" t="s">
        <v>201</v>
      </c>
      <c r="U50" s="246">
        <v>2010</v>
      </c>
      <c r="V50" s="433" cm="1">
        <f t="array" ref="V50">_xlfn.IFNA(INDEX('Data manipulation'!$C$23:$N$128,MATCH($S50&amp;$R50,'Data manipulation'!$B$23:$B$128&amp;'Data manipulation'!$A$23:$A$128,0),MATCH($U50,'Data manipulation'!$C$22:$N$22,0))/1000,0)*SUMIFS('Regional split'!$F$4:$F$6,'Regional split'!$B$4:$B$6,V$4)</f>
        <v>0</v>
      </c>
      <c r="W50" s="433" cm="1">
        <f t="array" ref="W50">_xlfn.IFNA(INDEX('Data manipulation'!$C$23:$N$128,MATCH($S50&amp;$R50,'Data manipulation'!$B$23:$B$128&amp;'Data manipulation'!$A$23:$A$128,0),MATCH($U50,'Data manipulation'!$C$22:$N$22,0))/1000,0)*SUMIFS('Regional split'!$F$4:$F$6,'Regional split'!$B$4:$B$6,W$4)</f>
        <v>0</v>
      </c>
      <c r="X50" s="433" cm="1">
        <f t="array" ref="X50">_xlfn.IFNA(INDEX('Data manipulation'!$C$23:$N$128,MATCH($S50&amp;$R50,'Data manipulation'!$B$23:$B$128&amp;'Data manipulation'!$A$23:$A$128,0),MATCH($U50,'Data manipulation'!$C$22:$N$22,0))/1000,0)*SUMIFS('Regional split'!$F$4:$F$6,'Regional split'!$B$4:$B$6,X$4)</f>
        <v>0</v>
      </c>
      <c r="Y50" s="444">
        <f t="shared" si="71"/>
        <v>0</v>
      </c>
      <c r="Z50" s="251">
        <f t="shared" ref="Z50" si="90">W50*K50</f>
        <v>0</v>
      </c>
      <c r="AA50" s="445">
        <f t="shared" ref="AA50" si="91">X50*L50</f>
        <v>0</v>
      </c>
    </row>
    <row r="51" spans="2:27" ht="15" customHeight="1">
      <c r="B51" s="233" t="str">
        <f>Processes!D51</f>
        <v>CWTELCWE1</v>
      </c>
      <c r="C51" s="233" t="str">
        <f>Processes!E51</f>
        <v>Residential Water Hot Technology   - Electricity Water Heating - Existing 1</v>
      </c>
      <c r="D51" s="230" t="str">
        <f>Commodities!$C$33</f>
        <v>COMELCW</v>
      </c>
      <c r="E51" s="230" t="str">
        <f>Commodities!$C$15</f>
        <v>CWDEM</v>
      </c>
      <c r="F51" s="259">
        <v>2010</v>
      </c>
      <c r="G51" s="250">
        <f t="shared" ref="G51" si="92">ROUNDUP(Y51/($M51*$N51)*$G$2,2)</f>
        <v>0</v>
      </c>
      <c r="H51" s="250">
        <f t="shared" ref="H51" si="93">ROUNDUP(Z51/($M51*$N51)*$G$2,2)</f>
        <v>0</v>
      </c>
      <c r="I51" s="250">
        <f t="shared" ref="I51" si="94">ROUNDUP(AA51/($M51*$N51)*$G$2,2)</f>
        <v>0</v>
      </c>
      <c r="J51" s="463">
        <v>1</v>
      </c>
      <c r="K51" s="463">
        <v>1</v>
      </c>
      <c r="L51" s="463">
        <v>1</v>
      </c>
      <c r="M51" s="244">
        <f t="shared" si="65"/>
        <v>3.1536000000000002E-2</v>
      </c>
      <c r="N51" s="459">
        <v>1</v>
      </c>
      <c r="O51" s="245">
        <v>30</v>
      </c>
      <c r="P51" s="227"/>
      <c r="Q51" s="268"/>
      <c r="R51" s="268" t="str">
        <f t="shared" si="70"/>
        <v>Hot Water</v>
      </c>
      <c r="S51" s="584" t="s">
        <v>73</v>
      </c>
      <c r="T51" s="246" t="s">
        <v>873</v>
      </c>
      <c r="U51" s="246">
        <v>2010</v>
      </c>
      <c r="V51" s="433" cm="1">
        <f t="array" ref="V51">_xlfn.IFNA(INDEX('Data manipulation'!$C$23:$N$128,MATCH($S51&amp;$R51,'Data manipulation'!$B$23:$B$128&amp;'Data manipulation'!$A$23:$A$128,0),MATCH($U51,'Data manipulation'!$C$22:$N$22,0))/1000,0)*SUMIFS('Regional split'!$F$4:$F$6,'Regional split'!$B$4:$B$6,V$4)</f>
        <v>0</v>
      </c>
      <c r="W51" s="433" cm="1">
        <f t="array" ref="W51">_xlfn.IFNA(INDEX('Data manipulation'!$C$23:$N$128,MATCH($S51&amp;$R51,'Data manipulation'!$B$23:$B$128&amp;'Data manipulation'!$A$23:$A$128,0),MATCH($U51,'Data manipulation'!$C$22:$N$22,0))/1000,0)*SUMIFS('Regional split'!$F$4:$F$6,'Regional split'!$B$4:$B$6,W$4)</f>
        <v>0</v>
      </c>
      <c r="X51" s="433" cm="1">
        <f t="array" ref="X51">_xlfn.IFNA(INDEX('Data manipulation'!$C$23:$N$128,MATCH($S51&amp;$R51,'Data manipulation'!$B$23:$B$128&amp;'Data manipulation'!$A$23:$A$128,0),MATCH($U51,'Data manipulation'!$C$22:$N$22,0))/1000,0)*SUMIFS('Regional split'!$F$4:$F$6,'Regional split'!$B$4:$B$6,X$4)</f>
        <v>0</v>
      </c>
      <c r="Y51" s="444">
        <f t="shared" si="71"/>
        <v>0</v>
      </c>
      <c r="Z51" s="251">
        <f t="shared" ref="Z51" si="95">W51*K51</f>
        <v>0</v>
      </c>
      <c r="AA51" s="445">
        <f t="shared" ref="AA51" si="96">X51*L51</f>
        <v>0</v>
      </c>
    </row>
    <row r="52" spans="2:27" ht="15" customHeight="1">
      <c r="B52" s="233" t="str">
        <f>Processes!D52</f>
        <v>CWTHCEE1</v>
      </c>
      <c r="C52" s="233" t="str">
        <f>Processes!E52</f>
        <v>Residential Water Hot Technology   - District heating Central - Existing 1</v>
      </c>
      <c r="D52" s="230" t="str">
        <f>Commodities!$C$33</f>
        <v>COMELCW</v>
      </c>
      <c r="E52" s="230" t="str">
        <f>Commodities!$C$15</f>
        <v>CWDEM</v>
      </c>
      <c r="F52" s="259">
        <v>2010</v>
      </c>
      <c r="G52" s="250">
        <f t="shared" ref="G52" si="97">ROUNDUP(Y52/($M52*$N52)*$G$2,2)</f>
        <v>0</v>
      </c>
      <c r="H52" s="250">
        <f t="shared" ref="H52" si="98">ROUNDUP(Z52/($M52*$N52)*$G$2,2)</f>
        <v>0</v>
      </c>
      <c r="I52" s="250">
        <f t="shared" ref="I52" si="99">ROUNDUP(AA52/($M52*$N52)*$G$2,2)</f>
        <v>0</v>
      </c>
      <c r="J52" s="463">
        <v>0.95</v>
      </c>
      <c r="K52" s="463">
        <v>0.95</v>
      </c>
      <c r="L52" s="463">
        <v>0.95</v>
      </c>
      <c r="M52" s="244">
        <f t="shared" si="65"/>
        <v>3.1536000000000002E-2</v>
      </c>
      <c r="N52" s="459">
        <v>1</v>
      </c>
      <c r="O52" s="245">
        <v>30</v>
      </c>
      <c r="P52" s="227"/>
      <c r="Q52" s="268"/>
      <c r="R52" s="268" t="str">
        <f t="shared" si="70"/>
        <v>Hot Water</v>
      </c>
      <c r="S52" s="584" t="s">
        <v>200</v>
      </c>
      <c r="T52" s="246" t="s">
        <v>200</v>
      </c>
      <c r="U52" s="246">
        <v>2010</v>
      </c>
      <c r="V52" s="433" cm="1">
        <f t="array" ref="V52">_xlfn.IFNA(INDEX('Data manipulation'!$C$23:$N$128,MATCH($S52&amp;$R52,'Data manipulation'!$B$23:$B$128&amp;'Data manipulation'!$A$23:$A$128,0),MATCH($U52,'Data manipulation'!$C$22:$N$22,0))/1000,0)*SUMIFS('Regional split'!$F$4:$F$6,'Regional split'!$B$4:$B$6,V$4)</f>
        <v>0</v>
      </c>
      <c r="W52" s="433" cm="1">
        <f t="array" ref="W52">_xlfn.IFNA(INDEX('Data manipulation'!$C$23:$N$128,MATCH($S52&amp;$R52,'Data manipulation'!$B$23:$B$128&amp;'Data manipulation'!$A$23:$A$128,0),MATCH($U52,'Data manipulation'!$C$22:$N$22,0))/1000,0)*SUMIFS('Regional split'!$F$4:$F$6,'Regional split'!$B$4:$B$6,W$4)</f>
        <v>0</v>
      </c>
      <c r="X52" s="433" cm="1">
        <f t="array" ref="X52">_xlfn.IFNA(INDEX('Data manipulation'!$C$23:$N$128,MATCH($S52&amp;$R52,'Data manipulation'!$B$23:$B$128&amp;'Data manipulation'!$A$23:$A$128,0),MATCH($U52,'Data manipulation'!$C$22:$N$22,0))/1000,0)*SUMIFS('Regional split'!$F$4:$F$6,'Regional split'!$B$4:$B$6,X$4)</f>
        <v>0</v>
      </c>
      <c r="Y52" s="444">
        <f t="shared" si="71"/>
        <v>0</v>
      </c>
      <c r="Z52" s="251">
        <f t="shared" ref="Z52" si="100">W52*K52</f>
        <v>0</v>
      </c>
      <c r="AA52" s="445">
        <f t="shared" ref="AA52" si="101">X52*L52</f>
        <v>0</v>
      </c>
    </row>
    <row r="53" spans="2:27" ht="14.5">
      <c r="B53" s="233" t="str">
        <f t="shared" ref="B53:E54" si="102">B45</f>
        <v>CWTLPGE1</v>
      </c>
      <c r="C53" s="233" t="str">
        <f t="shared" si="102"/>
        <v>Residential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3">
        <f t="shared" ref="J53:L54" si="105">J45</f>
        <v>0.95</v>
      </c>
      <c r="K53" s="463">
        <f t="shared" si="105"/>
        <v>0.95</v>
      </c>
      <c r="L53" s="463">
        <f t="shared" si="105"/>
        <v>0.95</v>
      </c>
      <c r="M53" s="244">
        <f t="shared" si="65"/>
        <v>3.1536000000000002E-2</v>
      </c>
      <c r="N53" s="459">
        <v>0.8</v>
      </c>
      <c r="O53" s="245">
        <v>30</v>
      </c>
      <c r="P53" s="227"/>
      <c r="Q53" s="227"/>
      <c r="R53" s="268" t="str">
        <f>R45</f>
        <v>Hot Water</v>
      </c>
      <c r="S53" s="594" t="s">
        <v>838</v>
      </c>
      <c r="T53" s="246" t="s">
        <v>771</v>
      </c>
      <c r="U53" s="246">
        <v>2015</v>
      </c>
      <c r="V53" s="433" cm="1">
        <f t="array" ref="V53">_xlfn.IFNA(INDEX('Data manipulation'!$C$23:$N$128,MATCH($S53&amp;$R53,'Data manipulation'!$B$23:$B$128&amp;'Data manipulation'!$A$23:$A$128,0),MATCH($U53,'Data manipulation'!$C$22:$N$22,0))/1000,0)*SUMIFS('Regional split'!$F$4:$F$6,'Regional split'!$B$4:$B$6,V$4)</f>
        <v>2.1033554124185736</v>
      </c>
      <c r="W53" s="433" cm="1">
        <f t="array" ref="W53">_xlfn.IFNA(INDEX('Data manipulation'!$C$23:$N$128,MATCH($S53&amp;$R53,'Data manipulation'!$B$23:$B$128&amp;'Data manipulation'!$A$23:$A$128,0),MATCH($U53,'Data manipulation'!$C$22:$N$22,0))/1000,0)*SUMIFS('Regional split'!$F$4:$F$6,'Regional split'!$B$4:$B$6,W$4)</f>
        <v>0</v>
      </c>
      <c r="X53" s="433" cm="1">
        <f t="array" ref="X53">_xlfn.IFNA(INDEX('Data manipulation'!$C$23:$N$128,MATCH($S53&amp;$R53,'Data manipulation'!$B$23:$B$128&amp;'Data manipulation'!$A$23:$A$128,0),MATCH($U53,'Data manipulation'!$C$22:$N$22,0))/1000,0)*SUMIFS('Regional split'!$F$4:$F$6,'Regional split'!$B$4:$B$6,X$4)</f>
        <v>0</v>
      </c>
      <c r="Y53" s="444">
        <f t="shared" si="71"/>
        <v>1.9981876417976447</v>
      </c>
      <c r="Z53" s="251">
        <f t="shared" si="67"/>
        <v>0</v>
      </c>
      <c r="AA53" s="445">
        <f t="shared" si="68"/>
        <v>0</v>
      </c>
    </row>
    <row r="54" spans="2:27" ht="14.5">
      <c r="B54" s="233" t="str">
        <f t="shared" si="102"/>
        <v>CWTNGAE1</v>
      </c>
      <c r="C54" s="233" t="str">
        <f t="shared" si="102"/>
        <v>Residential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3">
        <f t="shared" si="105"/>
        <v>0.72</v>
      </c>
      <c r="K54" s="463">
        <f t="shared" si="105"/>
        <v>0.72</v>
      </c>
      <c r="L54" s="463">
        <f t="shared" si="105"/>
        <v>0.72</v>
      </c>
      <c r="M54" s="244">
        <f t="shared" si="65"/>
        <v>3.1536000000000002E-2</v>
      </c>
      <c r="N54" s="459">
        <v>0.8</v>
      </c>
      <c r="O54" s="245">
        <v>30</v>
      </c>
      <c r="P54" s="227"/>
      <c r="Q54" s="227"/>
      <c r="R54" s="268" t="str">
        <f>R46</f>
        <v>Hot Water</v>
      </c>
      <c r="S54" s="595" t="s">
        <v>860</v>
      </c>
      <c r="T54" s="246" t="s">
        <v>168</v>
      </c>
      <c r="U54" s="246">
        <v>2015</v>
      </c>
      <c r="V54" s="433" cm="1">
        <f t="array" ref="V54">_xlfn.IFNA(INDEX('Data manipulation'!$C$23:$N$128,MATCH($S54&amp;$R54,'Data manipulation'!$B$23:$B$128&amp;'Data manipulation'!$A$23:$A$128,0),MATCH($U54,'Data manipulation'!$C$22:$N$22,0))/1000,0)*SUMIFS('Regional split'!$F$4:$F$6,'Regional split'!$B$4:$B$6,V$4)</f>
        <v>88.808935688363135</v>
      </c>
      <c r="W54" s="433" cm="1">
        <f t="array" ref="W54">_xlfn.IFNA(INDEX('Data manipulation'!$C$23:$N$128,MATCH($S54&amp;$R54,'Data manipulation'!$B$23:$B$128&amp;'Data manipulation'!$A$23:$A$128,0),MATCH($U54,'Data manipulation'!$C$22:$N$22,0))/1000,0)*SUMIFS('Regional split'!$F$4:$F$6,'Regional split'!$B$4:$B$6,W$4)</f>
        <v>0</v>
      </c>
      <c r="X54" s="433" cm="1">
        <f t="array" ref="X54">_xlfn.IFNA(INDEX('Data manipulation'!$C$23:$N$128,MATCH($S54&amp;$R54,'Data manipulation'!$B$23:$B$128&amp;'Data manipulation'!$A$23:$A$128,0),MATCH($U54,'Data manipulation'!$C$22:$N$22,0))/1000,0)*SUMIFS('Regional split'!$F$4:$F$6,'Regional split'!$B$4:$B$6,X$4)</f>
        <v>0</v>
      </c>
      <c r="Y54" s="444">
        <f t="shared" ref="Y54" si="106">V54*J54</f>
        <v>63.942433695621453</v>
      </c>
      <c r="Z54" s="251">
        <f t="shared" si="67"/>
        <v>0</v>
      </c>
      <c r="AA54" s="445">
        <f t="shared" si="68"/>
        <v>0</v>
      </c>
    </row>
    <row r="55" spans="2:27" ht="15" customHeight="1">
      <c r="B55" s="233" t="str">
        <f>B47</f>
        <v>CWTDSLE1</v>
      </c>
      <c r="C55" s="233" t="str">
        <f t="shared" ref="C55:E55" si="107">C47</f>
        <v>Residential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3">
        <v>0.71</v>
      </c>
      <c r="K55" s="463">
        <v>0.71</v>
      </c>
      <c r="L55" s="463">
        <v>0.71</v>
      </c>
      <c r="M55" s="244">
        <f t="shared" si="65"/>
        <v>3.1536000000000002E-2</v>
      </c>
      <c r="N55" s="459">
        <v>1</v>
      </c>
      <c r="O55" s="245">
        <v>30</v>
      </c>
      <c r="P55" s="227"/>
      <c r="Q55" s="268"/>
      <c r="R55" s="268" t="str">
        <f t="shared" ref="R55:R60" si="111">R54</f>
        <v>Hot Water</v>
      </c>
      <c r="S55" s="595" t="s">
        <v>859</v>
      </c>
      <c r="T55" s="246" t="s">
        <v>869</v>
      </c>
      <c r="U55" s="246">
        <v>2015</v>
      </c>
      <c r="V55" s="433" cm="1">
        <f t="array" ref="V55">_xlfn.IFNA(INDEX('Data manipulation'!$C$23:$N$128,MATCH($S55&amp;$R55,'Data manipulation'!$B$23:$B$128&amp;'Data manipulation'!$A$23:$A$128,0),MATCH($U55,'Data manipulation'!$C$22:$N$22,0))/1000,0)*SUMIFS('Regional split'!$F$4:$F$6,'Regional split'!$B$4:$B$6,V$4)</f>
        <v>0</v>
      </c>
      <c r="W55" s="433" cm="1">
        <f t="array" ref="W55">_xlfn.IFNA(INDEX('Data manipulation'!$C$23:$N$128,MATCH($S55&amp;$R55,'Data manipulation'!$B$23:$B$128&amp;'Data manipulation'!$A$23:$A$128,0),MATCH($U55,'Data manipulation'!$C$22:$N$22,0))/1000,0)*SUMIFS('Regional split'!$F$4:$F$6,'Regional split'!$B$4:$B$6,W$4)</f>
        <v>0</v>
      </c>
      <c r="X55" s="433" cm="1">
        <f t="array" ref="X55">_xlfn.IFNA(INDEX('Data manipulation'!$C$23:$N$128,MATCH($S55&amp;$R55,'Data manipulation'!$B$23:$B$128&amp;'Data manipulation'!$A$23:$A$128,0),MATCH($U55,'Data manipulation'!$C$22:$N$22,0))/1000,0)*SUMIFS('Regional split'!$F$4:$F$6,'Regional split'!$B$4:$B$6,X$4)</f>
        <v>0</v>
      </c>
      <c r="Y55" s="444">
        <f t="shared" ref="Y55:Y76" si="112">V55*J55</f>
        <v>0</v>
      </c>
      <c r="Z55" s="251">
        <f t="shared" si="67"/>
        <v>0</v>
      </c>
      <c r="AA55" s="445">
        <f t="shared" si="68"/>
        <v>0</v>
      </c>
    </row>
    <row r="56" spans="2:27" ht="15" customHeight="1">
      <c r="B56" s="233" t="str">
        <f t="shared" ref="B56:E60" si="113">B48</f>
        <v>CWTSOLE1</v>
      </c>
      <c r="C56" s="233" t="str">
        <f t="shared" si="113"/>
        <v>Residential Water Hot Technology   - Solar - Existing 1</v>
      </c>
      <c r="D56" s="233" t="str">
        <f t="shared" si="113"/>
        <v>COMSOL</v>
      </c>
      <c r="E56" s="233" t="str">
        <f t="shared" si="113"/>
        <v>CWDEM</v>
      </c>
      <c r="F56" s="259">
        <v>2015</v>
      </c>
      <c r="G56" s="250">
        <f t="shared" si="108"/>
        <v>34.04</v>
      </c>
      <c r="H56" s="250">
        <f t="shared" si="109"/>
        <v>0</v>
      </c>
      <c r="I56" s="250">
        <f t="shared" si="110"/>
        <v>0</v>
      </c>
      <c r="J56" s="463">
        <v>1</v>
      </c>
      <c r="K56" s="463">
        <v>1</v>
      </c>
      <c r="L56" s="463">
        <v>1</v>
      </c>
      <c r="M56" s="244">
        <f t="shared" si="65"/>
        <v>3.1536000000000002E-2</v>
      </c>
      <c r="N56" s="459">
        <v>1</v>
      </c>
      <c r="O56" s="245">
        <v>30</v>
      </c>
      <c r="P56" s="227"/>
      <c r="Q56" s="268"/>
      <c r="R56" s="268" t="str">
        <f t="shared" si="111"/>
        <v>Hot Water</v>
      </c>
      <c r="S56" s="584" t="s">
        <v>834</v>
      </c>
      <c r="T56" s="246" t="s">
        <v>169</v>
      </c>
      <c r="U56" s="246">
        <v>2015</v>
      </c>
      <c r="V56" s="433" cm="1">
        <f t="array" ref="V56">_xlfn.IFNA(INDEX('Data manipulation'!$C$23:$N$128,MATCH($S56&amp;$R56,'Data manipulation'!$B$23:$B$128&amp;'Data manipulation'!$A$23:$A$128,0),MATCH($U56,'Data manipulation'!$C$22:$N$22,0))/1000,0)*SUMIFS('Regional split'!$F$4:$F$6,'Regional split'!$B$4:$B$6,V$4)</f>
        <v>1.0523589999999998</v>
      </c>
      <c r="W56" s="433" cm="1">
        <f t="array" ref="W56">_xlfn.IFNA(INDEX('Data manipulation'!$C$23:$N$128,MATCH($S56&amp;$R56,'Data manipulation'!$B$23:$B$128&amp;'Data manipulation'!$A$23:$A$128,0),MATCH($U56,'Data manipulation'!$C$22:$N$22,0))/1000,0)*SUMIFS('Regional split'!$F$4:$F$6,'Regional split'!$B$4:$B$6,W$4)</f>
        <v>0</v>
      </c>
      <c r="X56" s="433" cm="1">
        <f t="array" ref="X56">_xlfn.IFNA(INDEX('Data manipulation'!$C$23:$N$128,MATCH($S56&amp;$R56,'Data manipulation'!$B$23:$B$128&amp;'Data manipulation'!$A$23:$A$128,0),MATCH($U56,'Data manipulation'!$C$22:$N$22,0))/1000,0)*SUMIFS('Regional split'!$F$4:$F$6,'Regional split'!$B$4:$B$6,X$4)</f>
        <v>0</v>
      </c>
      <c r="Y56" s="444">
        <f t="shared" si="112"/>
        <v>1.0523589999999998</v>
      </c>
      <c r="Z56" s="251">
        <f t="shared" si="67"/>
        <v>0</v>
      </c>
      <c r="AA56" s="445">
        <f t="shared" si="68"/>
        <v>0</v>
      </c>
    </row>
    <row r="57" spans="2:27" ht="15" customHeight="1">
      <c r="B57" s="233" t="str">
        <f t="shared" si="113"/>
        <v>CWTELCHE1</v>
      </c>
      <c r="C57" s="233" t="str">
        <f t="shared" si="113"/>
        <v>Residential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3">
        <v>2.3199999999999998</v>
      </c>
      <c r="K57" s="463">
        <v>2.3199999999999998</v>
      </c>
      <c r="L57" s="463">
        <v>2.3199999999999998</v>
      </c>
      <c r="M57" s="244">
        <f t="shared" si="65"/>
        <v>3.1536000000000002E-2</v>
      </c>
      <c r="N57" s="459">
        <v>1</v>
      </c>
      <c r="O57" s="245">
        <v>30</v>
      </c>
      <c r="P57" s="227"/>
      <c r="Q57" s="268"/>
      <c r="R57" s="268" t="str">
        <f t="shared" si="111"/>
        <v>Hot Water</v>
      </c>
      <c r="S57" s="584" t="s">
        <v>833</v>
      </c>
      <c r="T57" s="246" t="s">
        <v>870</v>
      </c>
      <c r="U57" s="246">
        <v>2015</v>
      </c>
      <c r="V57" s="433" cm="1">
        <f t="array" ref="V57">_xlfn.IFNA(INDEX('Data manipulation'!$C$23:$N$128,MATCH($S57&amp;$R57,'Data manipulation'!$B$23:$B$128&amp;'Data manipulation'!$A$23:$A$128,0),MATCH($U57,'Data manipulation'!$C$22:$N$22,0))/1000,0)*SUMIFS('Regional split'!$F$4:$F$6,'Regional split'!$B$4:$B$6,V$4)</f>
        <v>0.22104000000000001</v>
      </c>
      <c r="W57" s="433" cm="1">
        <f t="array" ref="W57">_xlfn.IFNA(INDEX('Data manipulation'!$C$23:$N$128,MATCH($S57&amp;$R57,'Data manipulation'!$B$23:$B$128&amp;'Data manipulation'!$A$23:$A$128,0),MATCH($U57,'Data manipulation'!$C$22:$N$22,0))/1000,0)*SUMIFS('Regional split'!$F$4:$F$6,'Regional split'!$B$4:$B$6,W$4)</f>
        <v>0</v>
      </c>
      <c r="X57" s="433" cm="1">
        <f t="array" ref="X57">_xlfn.IFNA(INDEX('Data manipulation'!$C$23:$N$128,MATCH($S57&amp;$R57,'Data manipulation'!$B$23:$B$128&amp;'Data manipulation'!$A$23:$A$128,0),MATCH($U57,'Data manipulation'!$C$22:$N$22,0))/1000,0)*SUMIFS('Regional split'!$F$4:$F$6,'Regional split'!$B$4:$B$6,X$4)</f>
        <v>0</v>
      </c>
      <c r="Y57" s="444">
        <f t="shared" si="112"/>
        <v>0.51281279999999996</v>
      </c>
      <c r="Z57" s="251">
        <f t="shared" si="67"/>
        <v>0</v>
      </c>
      <c r="AA57" s="445">
        <f t="shared" si="68"/>
        <v>0</v>
      </c>
    </row>
    <row r="58" spans="2:27" ht="15" customHeight="1">
      <c r="B58" s="233" t="str">
        <f t="shared" si="113"/>
        <v>CWTFIWE1</v>
      </c>
      <c r="C58" s="233" t="str">
        <f t="shared" si="113"/>
        <v>Residential Water Hot Technology   - Fire wood - Existing 1</v>
      </c>
      <c r="D58" s="233" t="str">
        <f t="shared" si="113"/>
        <v>COMFIW</v>
      </c>
      <c r="E58" s="233" t="str">
        <f t="shared" si="113"/>
        <v>CWDEM</v>
      </c>
      <c r="F58" s="259">
        <v>2015</v>
      </c>
      <c r="G58" s="250">
        <f t="shared" si="108"/>
        <v>152.87</v>
      </c>
      <c r="H58" s="250">
        <f t="shared" si="109"/>
        <v>0</v>
      </c>
      <c r="I58" s="250">
        <f t="shared" si="110"/>
        <v>0</v>
      </c>
      <c r="J58" s="463">
        <v>0.65</v>
      </c>
      <c r="K58" s="463">
        <v>0.65</v>
      </c>
      <c r="L58" s="463">
        <v>0.65</v>
      </c>
      <c r="M58" s="244">
        <f t="shared" si="65"/>
        <v>3.1536000000000002E-2</v>
      </c>
      <c r="N58" s="459">
        <v>1</v>
      </c>
      <c r="O58" s="245">
        <v>30</v>
      </c>
      <c r="P58" s="227"/>
      <c r="Q58" s="268"/>
      <c r="R58" s="268" t="str">
        <f t="shared" si="111"/>
        <v>Hot Water</v>
      </c>
      <c r="S58" s="584" t="s">
        <v>832</v>
      </c>
      <c r="T58" s="246" t="s">
        <v>201</v>
      </c>
      <c r="U58" s="246">
        <v>2015</v>
      </c>
      <c r="V58" s="433" cm="1">
        <f t="array" ref="V58">_xlfn.IFNA(INDEX('Data manipulation'!$C$23:$N$128,MATCH($S58&amp;$R58,'Data manipulation'!$B$23:$B$128&amp;'Data manipulation'!$A$23:$A$128,0),MATCH($U58,'Data manipulation'!$C$22:$N$22,0))/1000,0)*SUMIFS('Regional split'!$F$4:$F$6,'Regional split'!$B$4:$B$6,V$4)</f>
        <v>7.2711816450162781</v>
      </c>
      <c r="W58" s="433" cm="1">
        <f t="array" ref="W58">_xlfn.IFNA(INDEX('Data manipulation'!$C$23:$N$128,MATCH($S58&amp;$R58,'Data manipulation'!$B$23:$B$128&amp;'Data manipulation'!$A$23:$A$128,0),MATCH($U58,'Data manipulation'!$C$22:$N$22,0))/1000,0)*SUMIFS('Regional split'!$F$4:$F$6,'Regional split'!$B$4:$B$6,W$4)</f>
        <v>0</v>
      </c>
      <c r="X58" s="433" cm="1">
        <f t="array" ref="X58">_xlfn.IFNA(INDEX('Data manipulation'!$C$23:$N$128,MATCH($S58&amp;$R58,'Data manipulation'!$B$23:$B$128&amp;'Data manipulation'!$A$23:$A$128,0),MATCH($U58,'Data manipulation'!$C$22:$N$22,0))/1000,0)*SUMIFS('Regional split'!$F$4:$F$6,'Regional split'!$B$4:$B$6,X$4)</f>
        <v>0</v>
      </c>
      <c r="Y58" s="444">
        <f t="shared" si="112"/>
        <v>4.7262680692605805</v>
      </c>
      <c r="Z58" s="251">
        <f t="shared" si="67"/>
        <v>0</v>
      </c>
      <c r="AA58" s="445">
        <f t="shared" si="68"/>
        <v>0</v>
      </c>
    </row>
    <row r="59" spans="2:27" ht="15" customHeight="1">
      <c r="B59" s="233" t="str">
        <f t="shared" si="113"/>
        <v>CWTELCWE1</v>
      </c>
      <c r="C59" s="233" t="str">
        <f t="shared" si="113"/>
        <v>Residential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3">
        <v>1</v>
      </c>
      <c r="K59" s="463">
        <v>1</v>
      </c>
      <c r="L59" s="463">
        <v>1</v>
      </c>
      <c r="M59" s="244">
        <f t="shared" si="65"/>
        <v>3.1536000000000002E-2</v>
      </c>
      <c r="N59" s="459">
        <v>1</v>
      </c>
      <c r="O59" s="245">
        <v>30</v>
      </c>
      <c r="P59" s="227"/>
      <c r="Q59" s="268"/>
      <c r="R59" s="268" t="str">
        <f t="shared" si="111"/>
        <v>Hot Water</v>
      </c>
      <c r="S59" s="584" t="s">
        <v>73</v>
      </c>
      <c r="T59" s="246" t="s">
        <v>873</v>
      </c>
      <c r="U59" s="246">
        <v>2015</v>
      </c>
      <c r="V59" s="433" cm="1">
        <f t="array" ref="V59">_xlfn.IFNA(INDEX('Data manipulation'!$C$23:$N$128,MATCH($S59&amp;$R59,'Data manipulation'!$B$23:$B$128&amp;'Data manipulation'!$A$23:$A$128,0),MATCH($U59,'Data manipulation'!$C$22:$N$22,0))/1000,0)*SUMIFS('Regional split'!$F$4:$F$6,'Regional split'!$B$4:$B$6,V$4)</f>
        <v>58.197770105848562</v>
      </c>
      <c r="W59" s="433" cm="1">
        <f t="array" ref="W59">_xlfn.IFNA(INDEX('Data manipulation'!$C$23:$N$128,MATCH($S59&amp;$R59,'Data manipulation'!$B$23:$B$128&amp;'Data manipulation'!$A$23:$A$128,0),MATCH($U59,'Data manipulation'!$C$22:$N$22,0))/1000,0)*SUMIFS('Regional split'!$F$4:$F$6,'Regional split'!$B$4:$B$6,W$4)</f>
        <v>0</v>
      </c>
      <c r="X59" s="433" cm="1">
        <f t="array" ref="X59">_xlfn.IFNA(INDEX('Data manipulation'!$C$23:$N$128,MATCH($S59&amp;$R59,'Data manipulation'!$B$23:$B$128&amp;'Data manipulation'!$A$23:$A$128,0),MATCH($U59,'Data manipulation'!$C$22:$N$22,0))/1000,0)*SUMIFS('Regional split'!$F$4:$F$6,'Regional split'!$B$4:$B$6,X$4)</f>
        <v>0</v>
      </c>
      <c r="Y59" s="444">
        <f t="shared" si="112"/>
        <v>58.197770105848562</v>
      </c>
      <c r="Z59" s="251">
        <f t="shared" si="67"/>
        <v>0</v>
      </c>
      <c r="AA59" s="445">
        <f t="shared" si="68"/>
        <v>0</v>
      </c>
    </row>
    <row r="60" spans="2:27" ht="15" customHeight="1">
      <c r="B60" s="233" t="str">
        <f t="shared" si="113"/>
        <v>CWTHCEE1</v>
      </c>
      <c r="C60" s="233" t="str">
        <f t="shared" si="113"/>
        <v>Residential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3">
        <v>0.95</v>
      </c>
      <c r="K60" s="463">
        <v>0.95</v>
      </c>
      <c r="L60" s="463">
        <v>0.95</v>
      </c>
      <c r="M60" s="244">
        <f t="shared" si="65"/>
        <v>3.1536000000000002E-2</v>
      </c>
      <c r="N60" s="459">
        <v>1</v>
      </c>
      <c r="O60" s="245">
        <v>30</v>
      </c>
      <c r="P60" s="227"/>
      <c r="Q60" s="268"/>
      <c r="R60" s="268" t="str">
        <f t="shared" si="111"/>
        <v>Hot Water</v>
      </c>
      <c r="S60" s="584" t="s">
        <v>200</v>
      </c>
      <c r="T60" s="246" t="s">
        <v>200</v>
      </c>
      <c r="U60" s="246">
        <v>2015</v>
      </c>
      <c r="V60" s="433" cm="1">
        <f t="array" ref="V60">_xlfn.IFNA(INDEX('Data manipulation'!$C$23:$N$128,MATCH($S60&amp;$R60,'Data manipulation'!$B$23:$B$128&amp;'Data manipulation'!$A$23:$A$128,0),MATCH($U60,'Data manipulation'!$C$22:$N$22,0))/1000,0)*SUMIFS('Regional split'!$F$4:$F$6,'Regional split'!$B$4:$B$6,V$4)</f>
        <v>5.0603217205670061</v>
      </c>
      <c r="W60" s="433" cm="1">
        <f t="array" ref="W60">_xlfn.IFNA(INDEX('Data manipulation'!$C$23:$N$128,MATCH($S60&amp;$R60,'Data manipulation'!$B$23:$B$128&amp;'Data manipulation'!$A$23:$A$128,0),MATCH($U60,'Data manipulation'!$C$22:$N$22,0))/1000,0)*SUMIFS('Regional split'!$F$4:$F$6,'Regional split'!$B$4:$B$6,W$4)</f>
        <v>0</v>
      </c>
      <c r="X60" s="433" cm="1">
        <f t="array" ref="X60">_xlfn.IFNA(INDEX('Data manipulation'!$C$23:$N$128,MATCH($S60&amp;$R60,'Data manipulation'!$B$23:$B$128&amp;'Data manipulation'!$A$23:$A$128,0),MATCH($U60,'Data manipulation'!$C$22:$N$22,0))/1000,0)*SUMIFS('Regional split'!$F$4:$F$6,'Regional split'!$B$4:$B$6,X$4)</f>
        <v>0</v>
      </c>
      <c r="Y60" s="444">
        <f t="shared" si="112"/>
        <v>4.8073056345386558</v>
      </c>
      <c r="Z60" s="251">
        <f t="shared" si="67"/>
        <v>0</v>
      </c>
      <c r="AA60" s="445">
        <f t="shared" si="68"/>
        <v>0</v>
      </c>
    </row>
    <row r="61" spans="2:27" ht="14.5">
      <c r="B61" s="233" t="str">
        <f t="shared" ref="B61:E62" si="114">B45</f>
        <v>CWTLPGE1</v>
      </c>
      <c r="C61" s="233" t="str">
        <f t="shared" si="114"/>
        <v>Residential Water Hot Technology   - LPG - Existing 1</v>
      </c>
      <c r="D61" s="233" t="str">
        <f t="shared" si="114"/>
        <v>COMLPG</v>
      </c>
      <c r="E61" s="233" t="str">
        <f t="shared" si="114"/>
        <v>CWDEM</v>
      </c>
      <c r="F61" s="230">
        <v>2018</v>
      </c>
      <c r="G61" s="250">
        <f t="shared" si="69"/>
        <v>33.769999999999996</v>
      </c>
      <c r="H61" s="250">
        <f t="shared" si="63"/>
        <v>0</v>
      </c>
      <c r="I61" s="250">
        <f t="shared" si="64"/>
        <v>0</v>
      </c>
      <c r="J61" s="463">
        <f t="shared" ref="J61:L62" si="115">J45</f>
        <v>0.95</v>
      </c>
      <c r="K61" s="463">
        <f t="shared" si="115"/>
        <v>0.95</v>
      </c>
      <c r="L61" s="463">
        <f t="shared" si="115"/>
        <v>0.95</v>
      </c>
      <c r="M61" s="244">
        <f t="shared" si="65"/>
        <v>3.1536000000000002E-2</v>
      </c>
      <c r="N61" s="459">
        <v>1</v>
      </c>
      <c r="O61" s="245">
        <v>30</v>
      </c>
      <c r="P61" s="227"/>
      <c r="Q61" s="227"/>
      <c r="R61" s="268" t="str">
        <f>R46</f>
        <v>Hot Water</v>
      </c>
      <c r="S61" s="594" t="s">
        <v>838</v>
      </c>
      <c r="T61" s="246" t="s">
        <v>168</v>
      </c>
      <c r="U61" s="246">
        <v>2018</v>
      </c>
      <c r="V61" s="433" cm="1">
        <f t="array" ref="V61">_xlfn.IFNA(INDEX('Data manipulation'!$C$23:$N$128,MATCH($S61&amp;$R61,'Data manipulation'!$B$23:$B$128&amp;'Data manipulation'!$A$23:$A$128,0),MATCH($U61,'Data manipulation'!$C$22:$N$22,0))/1000,0)*SUMIFS('Regional split'!$F$4:$F$6,'Regional split'!$B$4:$B$6,V$4)</f>
        <v>1.0987219999999998</v>
      </c>
      <c r="W61" s="433" cm="1">
        <f t="array" ref="W61">_xlfn.IFNA(INDEX('Data manipulation'!$C$23:$N$128,MATCH($S61&amp;$R61,'Data manipulation'!$B$23:$B$128&amp;'Data manipulation'!$A$23:$A$128,0),MATCH($U61,'Data manipulation'!$C$22:$N$22,0))/1000,0)*SUMIFS('Regional split'!$F$4:$F$6,'Regional split'!$B$4:$B$6,W$4)</f>
        <v>0</v>
      </c>
      <c r="X61" s="433" cm="1">
        <f t="array" ref="X61">_xlfn.IFNA(INDEX('Data manipulation'!$C$23:$N$128,MATCH($S61&amp;$R61,'Data manipulation'!$B$23:$B$128&amp;'Data manipulation'!$A$23:$A$128,0),MATCH($U61,'Data manipulation'!$C$22:$N$22,0))/1000,0)*SUMIFS('Regional split'!$F$4:$F$6,'Regional split'!$B$4:$B$6,X$4)</f>
        <v>0</v>
      </c>
      <c r="Y61" s="444">
        <f t="shared" si="112"/>
        <v>1.0437858999999998</v>
      </c>
      <c r="Z61" s="251">
        <f t="shared" si="67"/>
        <v>0</v>
      </c>
      <c r="AA61" s="445">
        <f t="shared" si="68"/>
        <v>0</v>
      </c>
    </row>
    <row r="62" spans="2:27" ht="14.5">
      <c r="B62" s="233" t="str">
        <f t="shared" si="114"/>
        <v>CWTNGAE1</v>
      </c>
      <c r="C62" s="233" t="str">
        <f t="shared" si="114"/>
        <v>Residential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3">
        <f t="shared" si="115"/>
        <v>0.72</v>
      </c>
      <c r="K62" s="463">
        <f t="shared" si="115"/>
        <v>0.72</v>
      </c>
      <c r="L62" s="463">
        <f t="shared" si="115"/>
        <v>0.72</v>
      </c>
      <c r="M62" s="244">
        <f t="shared" si="65"/>
        <v>3.1536000000000002E-2</v>
      </c>
      <c r="N62" s="459">
        <v>1</v>
      </c>
      <c r="O62" s="245">
        <v>30</v>
      </c>
      <c r="P62" s="227"/>
      <c r="Q62" s="227"/>
      <c r="R62" s="268" t="str">
        <f t="shared" ref="R62:R70" si="116">R61</f>
        <v>Hot Water</v>
      </c>
      <c r="S62" s="595" t="s">
        <v>860</v>
      </c>
      <c r="T62" s="246" t="s">
        <v>168</v>
      </c>
      <c r="U62" s="246">
        <v>2018</v>
      </c>
      <c r="V62" s="433" cm="1">
        <f t="array" ref="V62">_xlfn.IFNA(INDEX('Data manipulation'!$C$23:$N$128,MATCH($S62&amp;$R62,'Data manipulation'!$B$23:$B$128&amp;'Data manipulation'!$A$23:$A$128,0),MATCH($U62,'Data manipulation'!$C$22:$N$22,0))/1000,0)*SUMIFS('Regional split'!$F$4:$F$6,'Regional split'!$B$4:$B$6,V$4)</f>
        <v>98.85141137085067</v>
      </c>
      <c r="W62" s="433" cm="1">
        <f t="array" ref="W62">_xlfn.IFNA(INDEX('Data manipulation'!$C$23:$N$128,MATCH($S62&amp;$R62,'Data manipulation'!$B$23:$B$128&amp;'Data manipulation'!$A$23:$A$128,0),MATCH($U62,'Data manipulation'!$C$22:$N$22,0))/1000,0)*SUMIFS('Regional split'!$F$4:$F$6,'Regional split'!$B$4:$B$6,W$4)</f>
        <v>0</v>
      </c>
      <c r="X62" s="433" cm="1">
        <f t="array" ref="X62">_xlfn.IFNA(INDEX('Data manipulation'!$C$23:$N$128,MATCH($S62&amp;$R62,'Data manipulation'!$B$23:$B$128&amp;'Data manipulation'!$A$23:$A$128,0),MATCH($U62,'Data manipulation'!$C$22:$N$22,0))/1000,0)*SUMIFS('Regional split'!$F$4:$F$6,'Regional split'!$B$4:$B$6,X$4)</f>
        <v>0</v>
      </c>
      <c r="Y62" s="444">
        <f t="shared" si="112"/>
        <v>71.173016187012479</v>
      </c>
      <c r="Z62" s="251">
        <f t="shared" si="67"/>
        <v>0</v>
      </c>
      <c r="AA62" s="445">
        <f t="shared" si="68"/>
        <v>0</v>
      </c>
    </row>
    <row r="63" spans="2:27" ht="15" customHeight="1">
      <c r="B63" s="233" t="str">
        <f>B55</f>
        <v>CWTDSLE1</v>
      </c>
      <c r="C63" s="233" t="str">
        <f t="shared" ref="C63:E63" si="117">C55</f>
        <v>Residential Water Hot Technology   - Diesel - Existing 1</v>
      </c>
      <c r="D63" s="233" t="str">
        <f t="shared" si="117"/>
        <v>COMDSL,COMDSB</v>
      </c>
      <c r="E63" s="233" t="str">
        <f t="shared" si="117"/>
        <v>CWDEM</v>
      </c>
      <c r="F63" s="230">
        <v>2018</v>
      </c>
      <c r="G63" s="250">
        <f t="shared" si="69"/>
        <v>0</v>
      </c>
      <c r="H63" s="250">
        <f t="shared" si="63"/>
        <v>0</v>
      </c>
      <c r="I63" s="250">
        <f t="shared" si="64"/>
        <v>0</v>
      </c>
      <c r="J63" s="463">
        <v>0.71</v>
      </c>
      <c r="K63" s="463">
        <v>0.71</v>
      </c>
      <c r="L63" s="463">
        <v>0.71</v>
      </c>
      <c r="M63" s="244">
        <f t="shared" si="65"/>
        <v>3.1536000000000002E-2</v>
      </c>
      <c r="N63" s="459">
        <v>1</v>
      </c>
      <c r="O63" s="245">
        <v>30</v>
      </c>
      <c r="P63" s="227"/>
      <c r="Q63" s="268"/>
      <c r="R63" s="268" t="str">
        <f t="shared" ref="R63:R68" si="118">R62</f>
        <v>Hot Water</v>
      </c>
      <c r="S63" s="595" t="s">
        <v>859</v>
      </c>
      <c r="T63" s="246" t="s">
        <v>869</v>
      </c>
      <c r="U63" s="246">
        <v>2018</v>
      </c>
      <c r="V63" s="433" cm="1">
        <f t="array" ref="V63">_xlfn.IFNA(INDEX('Data manipulation'!$C$23:$N$128,MATCH($S63&amp;$R63,'Data manipulation'!$B$23:$B$128&amp;'Data manipulation'!$A$23:$A$128,0),MATCH($U63,'Data manipulation'!$C$22:$N$22,0))/1000,0)*SUMIFS('Regional split'!$F$4:$F$6,'Regional split'!$B$4:$B$6,V$4)</f>
        <v>0</v>
      </c>
      <c r="W63" s="433" cm="1">
        <f t="array" ref="W63">_xlfn.IFNA(INDEX('Data manipulation'!$C$23:$N$128,MATCH($S63&amp;$R63,'Data manipulation'!$B$23:$B$128&amp;'Data manipulation'!$A$23:$A$128,0),MATCH($U63,'Data manipulation'!$C$22:$N$22,0))/1000,0)*SUMIFS('Regional split'!$F$4:$F$6,'Regional split'!$B$4:$B$6,W$4)</f>
        <v>0</v>
      </c>
      <c r="X63" s="433" cm="1">
        <f t="array" ref="X63">_xlfn.IFNA(INDEX('Data manipulation'!$C$23:$N$128,MATCH($S63&amp;$R63,'Data manipulation'!$B$23:$B$128&amp;'Data manipulation'!$A$23:$A$128,0),MATCH($U63,'Data manipulation'!$C$22:$N$22,0))/1000,0)*SUMIFS('Regional split'!$F$4:$F$6,'Regional split'!$B$4:$B$6,X$4)</f>
        <v>0</v>
      </c>
      <c r="Y63" s="444">
        <f t="shared" si="112"/>
        <v>0</v>
      </c>
      <c r="Z63" s="251">
        <f t="shared" ref="Z63:Z68" si="119">W63*K63</f>
        <v>0</v>
      </c>
      <c r="AA63" s="445">
        <f t="shared" ref="AA63:AA68" si="120">X63*L63</f>
        <v>0</v>
      </c>
    </row>
    <row r="64" spans="2:27" ht="15" customHeight="1">
      <c r="B64" s="233" t="str">
        <f t="shared" ref="B64:E64" si="121">B56</f>
        <v>CWTSOLE1</v>
      </c>
      <c r="C64" s="233" t="str">
        <f t="shared" si="121"/>
        <v>Residential Water Hot Technology   - Solar - Existing 1</v>
      </c>
      <c r="D64" s="233" t="str">
        <f t="shared" si="121"/>
        <v>COMSOL</v>
      </c>
      <c r="E64" s="233" t="str">
        <f t="shared" si="121"/>
        <v>CWDEM</v>
      </c>
      <c r="F64" s="230">
        <v>2018</v>
      </c>
      <c r="G64" s="250">
        <f t="shared" si="69"/>
        <v>37.53</v>
      </c>
      <c r="H64" s="250">
        <f t="shared" si="63"/>
        <v>0</v>
      </c>
      <c r="I64" s="250">
        <f t="shared" si="64"/>
        <v>0</v>
      </c>
      <c r="J64" s="463">
        <v>1</v>
      </c>
      <c r="K64" s="463">
        <v>1</v>
      </c>
      <c r="L64" s="463">
        <v>1</v>
      </c>
      <c r="M64" s="244">
        <f t="shared" si="65"/>
        <v>3.1536000000000002E-2</v>
      </c>
      <c r="N64" s="459">
        <v>1</v>
      </c>
      <c r="O64" s="245">
        <v>30</v>
      </c>
      <c r="P64" s="227"/>
      <c r="Q64" s="268"/>
      <c r="R64" s="268" t="str">
        <f t="shared" si="118"/>
        <v>Hot Water</v>
      </c>
      <c r="S64" s="584" t="s">
        <v>834</v>
      </c>
      <c r="T64" s="246" t="s">
        <v>169</v>
      </c>
      <c r="U64" s="246">
        <v>2018</v>
      </c>
      <c r="V64" s="433" cm="1">
        <f t="array" ref="V64">_xlfn.IFNA(INDEX('Data manipulation'!$C$23:$N$128,MATCH($S64&amp;$R64,'Data manipulation'!$B$23:$B$128&amp;'Data manipulation'!$A$23:$A$128,0),MATCH($U64,'Data manipulation'!$C$22:$N$22,0))/1000,0)*SUMIFS('Regional split'!$F$4:$F$6,'Regional split'!$B$4:$B$6,V$4)</f>
        <v>1.160115</v>
      </c>
      <c r="W64" s="433" cm="1">
        <f t="array" ref="W64">_xlfn.IFNA(INDEX('Data manipulation'!$C$23:$N$128,MATCH($S64&amp;$R64,'Data manipulation'!$B$23:$B$128&amp;'Data manipulation'!$A$23:$A$128,0),MATCH($U64,'Data manipulation'!$C$22:$N$22,0))/1000,0)*SUMIFS('Regional split'!$F$4:$F$6,'Regional split'!$B$4:$B$6,W$4)</f>
        <v>0</v>
      </c>
      <c r="X64" s="433" cm="1">
        <f t="array" ref="X64">_xlfn.IFNA(INDEX('Data manipulation'!$C$23:$N$128,MATCH($S64&amp;$R64,'Data manipulation'!$B$23:$B$128&amp;'Data manipulation'!$A$23:$A$128,0),MATCH($U64,'Data manipulation'!$C$22:$N$22,0))/1000,0)*SUMIFS('Regional split'!$F$4:$F$6,'Regional split'!$B$4:$B$6,X$4)</f>
        <v>0</v>
      </c>
      <c r="Y64" s="444">
        <f t="shared" si="112"/>
        <v>1.160115</v>
      </c>
      <c r="Z64" s="251">
        <f t="shared" si="119"/>
        <v>0</v>
      </c>
      <c r="AA64" s="445">
        <f t="shared" si="120"/>
        <v>0</v>
      </c>
    </row>
    <row r="65" spans="2:27" ht="15" customHeight="1">
      <c r="B65" s="233" t="str">
        <f t="shared" ref="B65:E65" si="122">B57</f>
        <v>CWTELCHE1</v>
      </c>
      <c r="C65" s="233" t="str">
        <f t="shared" si="122"/>
        <v>Residential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3">
        <v>2.3199999999999998</v>
      </c>
      <c r="K65" s="463">
        <v>2.3199999999999998</v>
      </c>
      <c r="L65" s="463">
        <v>2.3199999999999998</v>
      </c>
      <c r="M65" s="244">
        <f t="shared" si="65"/>
        <v>3.1536000000000002E-2</v>
      </c>
      <c r="N65" s="459">
        <v>1</v>
      </c>
      <c r="O65" s="245">
        <v>30</v>
      </c>
      <c r="P65" s="227"/>
      <c r="Q65" s="268"/>
      <c r="R65" s="268" t="str">
        <f t="shared" si="118"/>
        <v>Hot Water</v>
      </c>
      <c r="S65" s="584" t="s">
        <v>833</v>
      </c>
      <c r="T65" s="246" t="s">
        <v>870</v>
      </c>
      <c r="U65" s="246">
        <v>2018</v>
      </c>
      <c r="V65" s="433" cm="1">
        <f t="array" ref="V65">_xlfn.IFNA(INDEX('Data manipulation'!$C$23:$N$128,MATCH($S65&amp;$R65,'Data manipulation'!$B$23:$B$128&amp;'Data manipulation'!$A$23:$A$128,0),MATCH($U65,'Data manipulation'!$C$22:$N$22,0))/1000,0)*SUMIFS('Regional split'!$F$4:$F$6,'Regional split'!$B$4:$B$6,V$4)</f>
        <v>0.32949000000000006</v>
      </c>
      <c r="W65" s="433" cm="1">
        <f t="array" ref="W65">_xlfn.IFNA(INDEX('Data manipulation'!$C$23:$N$128,MATCH($S65&amp;$R65,'Data manipulation'!$B$23:$B$128&amp;'Data manipulation'!$A$23:$A$128,0),MATCH($U65,'Data manipulation'!$C$22:$N$22,0))/1000,0)*SUMIFS('Regional split'!$F$4:$F$6,'Regional split'!$B$4:$B$6,W$4)</f>
        <v>0</v>
      </c>
      <c r="X65" s="433" cm="1">
        <f t="array" ref="X65">_xlfn.IFNA(INDEX('Data manipulation'!$C$23:$N$128,MATCH($S65&amp;$R65,'Data manipulation'!$B$23:$B$128&amp;'Data manipulation'!$A$23:$A$128,0),MATCH($U65,'Data manipulation'!$C$22:$N$22,0))/1000,0)*SUMIFS('Regional split'!$F$4:$F$6,'Regional split'!$B$4:$B$6,X$4)</f>
        <v>0</v>
      </c>
      <c r="Y65" s="444">
        <f t="shared" si="112"/>
        <v>0.76441680000000012</v>
      </c>
      <c r="Z65" s="251">
        <f t="shared" si="119"/>
        <v>0</v>
      </c>
      <c r="AA65" s="445">
        <f t="shared" si="120"/>
        <v>0</v>
      </c>
    </row>
    <row r="66" spans="2:27" ht="15" customHeight="1">
      <c r="B66" s="233" t="str">
        <f t="shared" ref="B66:E66" si="123">B58</f>
        <v>CWTFIWE1</v>
      </c>
      <c r="C66" s="233" t="str">
        <f t="shared" si="123"/>
        <v>Residential Water Hot Technology   - Fire wood - Existing 1</v>
      </c>
      <c r="D66" s="233" t="str">
        <f t="shared" si="123"/>
        <v>COMFIW</v>
      </c>
      <c r="E66" s="233" t="str">
        <f t="shared" si="123"/>
        <v>CWDEM</v>
      </c>
      <c r="F66" s="230">
        <v>2018</v>
      </c>
      <c r="G66" s="250">
        <f t="shared" si="69"/>
        <v>171.47</v>
      </c>
      <c r="H66" s="250">
        <f t="shared" si="63"/>
        <v>0</v>
      </c>
      <c r="I66" s="250">
        <f t="shared" si="64"/>
        <v>0</v>
      </c>
      <c r="J66" s="463">
        <v>0.65</v>
      </c>
      <c r="K66" s="463">
        <v>0.65</v>
      </c>
      <c r="L66" s="463">
        <v>0.65</v>
      </c>
      <c r="M66" s="244">
        <f t="shared" si="65"/>
        <v>3.1536000000000002E-2</v>
      </c>
      <c r="N66" s="459">
        <v>1</v>
      </c>
      <c r="O66" s="245">
        <v>30</v>
      </c>
      <c r="P66" s="227"/>
      <c r="Q66" s="268"/>
      <c r="R66" s="268" t="str">
        <f t="shared" si="118"/>
        <v>Hot Water</v>
      </c>
      <c r="S66" s="584" t="s">
        <v>832</v>
      </c>
      <c r="T66" s="246" t="s">
        <v>201</v>
      </c>
      <c r="U66" s="246">
        <v>2018</v>
      </c>
      <c r="V66" s="433" cm="1">
        <f t="array" ref="V66">_xlfn.IFNA(INDEX('Data manipulation'!$C$23:$N$128,MATCH($S66&amp;$R66,'Data manipulation'!$B$23:$B$128&amp;'Data manipulation'!$A$23:$A$128,0),MATCH($U66,'Data manipulation'!$C$22:$N$22,0))/1000,0)*SUMIFS('Regional split'!$F$4:$F$6,'Regional split'!$B$4:$B$6,V$4)</f>
        <v>8.1559231469320181</v>
      </c>
      <c r="W66" s="433" cm="1">
        <f t="array" ref="W66">_xlfn.IFNA(INDEX('Data manipulation'!$C$23:$N$128,MATCH($S66&amp;$R66,'Data manipulation'!$B$23:$B$128&amp;'Data manipulation'!$A$23:$A$128,0),MATCH($U66,'Data manipulation'!$C$22:$N$22,0))/1000,0)*SUMIFS('Regional split'!$F$4:$F$6,'Regional split'!$B$4:$B$6,W$4)</f>
        <v>0</v>
      </c>
      <c r="X66" s="433" cm="1">
        <f t="array" ref="X66">_xlfn.IFNA(INDEX('Data manipulation'!$C$23:$N$128,MATCH($S66&amp;$R66,'Data manipulation'!$B$23:$B$128&amp;'Data manipulation'!$A$23:$A$128,0),MATCH($U66,'Data manipulation'!$C$22:$N$22,0))/1000,0)*SUMIFS('Regional split'!$F$4:$F$6,'Regional split'!$B$4:$B$6,X$4)</f>
        <v>0</v>
      </c>
      <c r="Y66" s="444">
        <f t="shared" si="112"/>
        <v>5.3013500455058118</v>
      </c>
      <c r="Z66" s="251">
        <f t="shared" si="119"/>
        <v>0</v>
      </c>
      <c r="AA66" s="445">
        <f t="shared" si="120"/>
        <v>0</v>
      </c>
    </row>
    <row r="67" spans="2:27" ht="15" customHeight="1">
      <c r="B67" s="233" t="str">
        <f t="shared" ref="B67:E67" si="124">B59</f>
        <v>CWTELCWE1</v>
      </c>
      <c r="C67" s="233" t="str">
        <f t="shared" si="124"/>
        <v>Residential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3">
        <v>1</v>
      </c>
      <c r="K67" s="463">
        <v>1</v>
      </c>
      <c r="L67" s="463">
        <v>1</v>
      </c>
      <c r="M67" s="244">
        <f t="shared" si="65"/>
        <v>3.1536000000000002E-2</v>
      </c>
      <c r="N67" s="459">
        <v>1</v>
      </c>
      <c r="O67" s="245">
        <v>30</v>
      </c>
      <c r="P67" s="227"/>
      <c r="Q67" s="268"/>
      <c r="R67" s="268" t="str">
        <f t="shared" si="118"/>
        <v>Hot Water</v>
      </c>
      <c r="S67" s="584" t="s">
        <v>73</v>
      </c>
      <c r="T67" s="246" t="s">
        <v>873</v>
      </c>
      <c r="U67" s="246">
        <v>2018</v>
      </c>
      <c r="V67" s="433" cm="1">
        <f t="array" ref="V67">_xlfn.IFNA(INDEX('Data manipulation'!$C$23:$N$128,MATCH($S67&amp;$R67,'Data manipulation'!$B$23:$B$128&amp;'Data manipulation'!$A$23:$A$128,0),MATCH($U67,'Data manipulation'!$C$22:$N$22,0))/1000,0)*SUMIFS('Regional split'!$F$4:$F$6,'Regional split'!$B$4:$B$6,V$4)</f>
        <v>55.193101807836008</v>
      </c>
      <c r="W67" s="433" cm="1">
        <f t="array" ref="W67">_xlfn.IFNA(INDEX('Data manipulation'!$C$23:$N$128,MATCH($S67&amp;$R67,'Data manipulation'!$B$23:$B$128&amp;'Data manipulation'!$A$23:$A$128,0),MATCH($U67,'Data manipulation'!$C$22:$N$22,0))/1000,0)*SUMIFS('Regional split'!$F$4:$F$6,'Regional split'!$B$4:$B$6,W$4)</f>
        <v>0</v>
      </c>
      <c r="X67" s="433" cm="1">
        <f t="array" ref="X67">_xlfn.IFNA(INDEX('Data manipulation'!$C$23:$N$128,MATCH($S67&amp;$R67,'Data manipulation'!$B$23:$B$128&amp;'Data manipulation'!$A$23:$A$128,0),MATCH($U67,'Data manipulation'!$C$22:$N$22,0))/1000,0)*SUMIFS('Regional split'!$F$4:$F$6,'Regional split'!$B$4:$B$6,X$4)</f>
        <v>0</v>
      </c>
      <c r="Y67" s="444">
        <f t="shared" si="112"/>
        <v>55.193101807836008</v>
      </c>
      <c r="Z67" s="251">
        <f t="shared" si="119"/>
        <v>0</v>
      </c>
      <c r="AA67" s="445">
        <f t="shared" si="120"/>
        <v>0</v>
      </c>
    </row>
    <row r="68" spans="2:27" ht="15" customHeight="1">
      <c r="B68" s="233" t="str">
        <f t="shared" ref="B68:E68" si="125">B60</f>
        <v>CWTHCEE1</v>
      </c>
      <c r="C68" s="233" t="str">
        <f t="shared" si="125"/>
        <v>Residential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3">
        <v>0.95</v>
      </c>
      <c r="K68" s="463">
        <v>0.95</v>
      </c>
      <c r="L68" s="463">
        <v>0.95</v>
      </c>
      <c r="M68" s="244">
        <f t="shared" si="65"/>
        <v>3.1536000000000002E-2</v>
      </c>
      <c r="N68" s="459">
        <v>1</v>
      </c>
      <c r="O68" s="245">
        <v>30</v>
      </c>
      <c r="P68" s="227"/>
      <c r="Q68" s="268"/>
      <c r="R68" s="268" t="str">
        <f t="shared" si="118"/>
        <v>Hot Water</v>
      </c>
      <c r="S68" s="584" t="s">
        <v>200</v>
      </c>
      <c r="T68" s="246" t="s">
        <v>200</v>
      </c>
      <c r="U68" s="246">
        <v>2018</v>
      </c>
      <c r="V68" s="433" cm="1">
        <f t="array" ref="V68">_xlfn.IFNA(INDEX('Data manipulation'!$C$23:$N$128,MATCH($S68&amp;$R68,'Data manipulation'!$B$23:$B$128&amp;'Data manipulation'!$A$23:$A$128,0),MATCH($U68,'Data manipulation'!$C$22:$N$22,0))/1000,0)*SUMIFS('Regional split'!$F$4:$F$6,'Regional split'!$B$4:$B$6,V$4)</f>
        <v>4.9018011915891275</v>
      </c>
      <c r="W68" s="433" cm="1">
        <f t="array" ref="W68">_xlfn.IFNA(INDEX('Data manipulation'!$C$23:$N$128,MATCH($S68&amp;$R68,'Data manipulation'!$B$23:$B$128&amp;'Data manipulation'!$A$23:$A$128,0),MATCH($U68,'Data manipulation'!$C$22:$N$22,0))/1000,0)*SUMIFS('Regional split'!$F$4:$F$6,'Regional split'!$B$4:$B$6,W$4)</f>
        <v>0</v>
      </c>
      <c r="X68" s="433" cm="1">
        <f t="array" ref="X68">_xlfn.IFNA(INDEX('Data manipulation'!$C$23:$N$128,MATCH($S68&amp;$R68,'Data manipulation'!$B$23:$B$128&amp;'Data manipulation'!$A$23:$A$128,0),MATCH($U68,'Data manipulation'!$C$22:$N$22,0))/1000,0)*SUMIFS('Regional split'!$F$4:$F$6,'Regional split'!$B$4:$B$6,X$4)</f>
        <v>0</v>
      </c>
      <c r="Y68" s="444">
        <f t="shared" si="112"/>
        <v>4.6567111320096712</v>
      </c>
      <c r="Z68" s="251">
        <f t="shared" si="119"/>
        <v>0</v>
      </c>
      <c r="AA68" s="445">
        <f t="shared" si="120"/>
        <v>0</v>
      </c>
    </row>
    <row r="69" spans="2:27" ht="14.5">
      <c r="B69" s="233" t="str">
        <f t="shared" ref="B69:E69" si="126">B61</f>
        <v>CWTLPGE1</v>
      </c>
      <c r="C69" s="233" t="str">
        <f t="shared" si="126"/>
        <v>Residential Water Hot Technology   - LPG - Existing 1</v>
      </c>
      <c r="D69" s="233" t="str">
        <f t="shared" si="126"/>
        <v>COMLPG</v>
      </c>
      <c r="E69" s="233" t="str">
        <f t="shared" si="126"/>
        <v>CWDEM</v>
      </c>
      <c r="F69" s="569">
        <f>F61+O69</f>
        <v>2048</v>
      </c>
      <c r="G69" s="632">
        <v>0</v>
      </c>
      <c r="H69" s="632">
        <v>0</v>
      </c>
      <c r="I69" s="632">
        <v>0</v>
      </c>
      <c r="J69" s="463">
        <f t="shared" ref="J69:L69" si="127">J61</f>
        <v>0.95</v>
      </c>
      <c r="K69" s="463">
        <f t="shared" si="127"/>
        <v>0.95</v>
      </c>
      <c r="L69" s="463">
        <f t="shared" si="127"/>
        <v>0.95</v>
      </c>
      <c r="M69" s="244">
        <f t="shared" si="65"/>
        <v>3.1536000000000002E-2</v>
      </c>
      <c r="N69" s="459">
        <v>1</v>
      </c>
      <c r="O69" s="245">
        <v>30</v>
      </c>
      <c r="P69" s="227"/>
      <c r="Q69" s="227"/>
      <c r="R69" s="268" t="str">
        <f>R62</f>
        <v>Hot Water</v>
      </c>
      <c r="S69" s="594" t="s">
        <v>838</v>
      </c>
      <c r="T69" s="246" t="s">
        <v>168</v>
      </c>
      <c r="U69" s="246">
        <v>2018</v>
      </c>
      <c r="V69" s="433" cm="1">
        <f t="array" ref="V69">_xlfn.IFNA(INDEX('Data manipulation'!$C$23:$N$128,MATCH($S69&amp;$R69,'Data manipulation'!$B$23:$B$128&amp;'Data manipulation'!$A$23:$A$128,0),MATCH($U69,'Data manipulation'!$C$22:$N$22,0))/1000,0)*SUMIFS('Regional split'!$F$4:$F$6,'Regional split'!$B$4:$B$6,V$4)</f>
        <v>1.0987219999999998</v>
      </c>
      <c r="W69" s="433" cm="1">
        <f t="array" ref="W69">_xlfn.IFNA(INDEX('Data manipulation'!$C$23:$N$128,MATCH($S69&amp;$R69,'Data manipulation'!$B$23:$B$128&amp;'Data manipulation'!$A$23:$A$128,0),MATCH($U69,'Data manipulation'!$C$22:$N$22,0))/1000,0)*SUMIFS('Regional split'!$F$4:$F$6,'Regional split'!$B$4:$B$6,W$4)</f>
        <v>0</v>
      </c>
      <c r="X69" s="433" cm="1">
        <f t="array" ref="X69">_xlfn.IFNA(INDEX('Data manipulation'!$C$23:$N$128,MATCH($S69&amp;$R69,'Data manipulation'!$B$23:$B$128&amp;'Data manipulation'!$A$23:$A$128,0),MATCH($U69,'Data manipulation'!$C$22:$N$22,0))/1000,0)*SUMIFS('Regional split'!$F$4:$F$6,'Regional split'!$B$4:$B$6,X$4)</f>
        <v>0</v>
      </c>
      <c r="Y69" s="444">
        <f t="shared" si="112"/>
        <v>1.0437858999999998</v>
      </c>
      <c r="Z69" s="251">
        <f t="shared" ref="Z69:Z76" si="128">W69*K69</f>
        <v>0</v>
      </c>
      <c r="AA69" s="445">
        <f t="shared" ref="AA69:AA76" si="129">X69*L69</f>
        <v>0</v>
      </c>
    </row>
    <row r="70" spans="2:27" ht="14.5">
      <c r="B70" s="233" t="str">
        <f t="shared" ref="B70:E70" si="130">B62</f>
        <v>CWTNGAE1</v>
      </c>
      <c r="C70" s="233" t="str">
        <f t="shared" si="130"/>
        <v>Residential Water Hot Technology   - Natural Gas - Existing 1</v>
      </c>
      <c r="D70" s="233" t="str">
        <f t="shared" si="130"/>
        <v>COMNGA,COMBGA</v>
      </c>
      <c r="E70" s="233" t="str">
        <f t="shared" si="130"/>
        <v>CWDEM</v>
      </c>
      <c r="F70" s="569">
        <f t="shared" ref="F70:F76" si="131">F62+O70</f>
        <v>2048</v>
      </c>
      <c r="G70" s="632">
        <v>0</v>
      </c>
      <c r="H70" s="632">
        <v>0</v>
      </c>
      <c r="I70" s="632">
        <v>0</v>
      </c>
      <c r="J70" s="463">
        <f t="shared" ref="J70:L70" si="132">J62</f>
        <v>0.72</v>
      </c>
      <c r="K70" s="463">
        <f t="shared" si="132"/>
        <v>0.72</v>
      </c>
      <c r="L70" s="463">
        <f t="shared" si="132"/>
        <v>0.72</v>
      </c>
      <c r="M70" s="244">
        <f t="shared" si="65"/>
        <v>3.1536000000000002E-2</v>
      </c>
      <c r="N70" s="459">
        <v>1</v>
      </c>
      <c r="O70" s="245">
        <v>30</v>
      </c>
      <c r="P70" s="227"/>
      <c r="Q70" s="227"/>
      <c r="R70" s="268" t="str">
        <f t="shared" si="116"/>
        <v>Hot Water</v>
      </c>
      <c r="S70" s="595" t="s">
        <v>860</v>
      </c>
      <c r="T70" s="246" t="s">
        <v>168</v>
      </c>
      <c r="U70" s="246">
        <v>2018</v>
      </c>
      <c r="V70" s="433" cm="1">
        <f t="array" ref="V70">_xlfn.IFNA(INDEX('Data manipulation'!$C$23:$N$128,MATCH($S70&amp;$R70,'Data manipulation'!$B$23:$B$128&amp;'Data manipulation'!$A$23:$A$128,0),MATCH($U70,'Data manipulation'!$C$22:$N$22,0))/1000,0)*SUMIFS('Regional split'!$F$4:$F$6,'Regional split'!$B$4:$B$6,V$4)</f>
        <v>98.85141137085067</v>
      </c>
      <c r="W70" s="433" cm="1">
        <f t="array" ref="W70">_xlfn.IFNA(INDEX('Data manipulation'!$C$23:$N$128,MATCH($S70&amp;$R70,'Data manipulation'!$B$23:$B$128&amp;'Data manipulation'!$A$23:$A$128,0),MATCH($U70,'Data manipulation'!$C$22:$N$22,0))/1000,0)*SUMIFS('Regional split'!$F$4:$F$6,'Regional split'!$B$4:$B$6,W$4)</f>
        <v>0</v>
      </c>
      <c r="X70" s="433" cm="1">
        <f t="array" ref="X70">_xlfn.IFNA(INDEX('Data manipulation'!$C$23:$N$128,MATCH($S70&amp;$R70,'Data manipulation'!$B$23:$B$128&amp;'Data manipulation'!$A$23:$A$128,0),MATCH($U70,'Data manipulation'!$C$22:$N$22,0))/1000,0)*SUMIFS('Regional split'!$F$4:$F$6,'Regional split'!$B$4:$B$6,X$4)</f>
        <v>0</v>
      </c>
      <c r="Y70" s="444">
        <f t="shared" si="112"/>
        <v>71.173016187012479</v>
      </c>
      <c r="Z70" s="251">
        <f t="shared" si="128"/>
        <v>0</v>
      </c>
      <c r="AA70" s="445">
        <f t="shared" si="129"/>
        <v>0</v>
      </c>
    </row>
    <row r="71" spans="2:27" ht="15" customHeight="1">
      <c r="B71" s="233" t="str">
        <f>B63</f>
        <v>CWTDSLE1</v>
      </c>
      <c r="C71" s="233" t="str">
        <f t="shared" ref="C71:E71" si="133">C63</f>
        <v>Residential Water Hot Technology   - Diesel - Existing 1</v>
      </c>
      <c r="D71" s="233" t="str">
        <f t="shared" si="133"/>
        <v>COMDSL,COMDSB</v>
      </c>
      <c r="E71" s="233" t="str">
        <f t="shared" si="133"/>
        <v>CWDEM</v>
      </c>
      <c r="F71" s="569">
        <f t="shared" si="131"/>
        <v>2048</v>
      </c>
      <c r="G71" s="632">
        <v>0</v>
      </c>
      <c r="H71" s="632">
        <v>0</v>
      </c>
      <c r="I71" s="632">
        <v>0</v>
      </c>
      <c r="J71" s="463">
        <v>0.71</v>
      </c>
      <c r="K71" s="463">
        <v>0.71</v>
      </c>
      <c r="L71" s="463">
        <v>0.71</v>
      </c>
      <c r="M71" s="244">
        <f t="shared" si="65"/>
        <v>3.1536000000000002E-2</v>
      </c>
      <c r="N71" s="459">
        <v>1</v>
      </c>
      <c r="O71" s="245">
        <v>30</v>
      </c>
      <c r="P71" s="227"/>
      <c r="Q71" s="268"/>
      <c r="R71" s="268" t="str">
        <f t="shared" ref="R71:R76" si="134">R70</f>
        <v>Hot Water</v>
      </c>
      <c r="S71" s="595" t="s">
        <v>859</v>
      </c>
      <c r="T71" s="246" t="s">
        <v>869</v>
      </c>
      <c r="U71" s="246">
        <v>2018</v>
      </c>
      <c r="V71" s="433" cm="1">
        <f t="array" ref="V71">_xlfn.IFNA(INDEX('Data manipulation'!$C$23:$N$128,MATCH($S71&amp;$R71,'Data manipulation'!$B$23:$B$128&amp;'Data manipulation'!$A$23:$A$128,0),MATCH($U71,'Data manipulation'!$C$22:$N$22,0))/1000,0)*SUMIFS('Regional split'!$F$4:$F$6,'Regional split'!$B$4:$B$6,V$4)</f>
        <v>0</v>
      </c>
      <c r="W71" s="433" cm="1">
        <f t="array" ref="W71">_xlfn.IFNA(INDEX('Data manipulation'!$C$23:$N$128,MATCH($S71&amp;$R71,'Data manipulation'!$B$23:$B$128&amp;'Data manipulation'!$A$23:$A$128,0),MATCH($U71,'Data manipulation'!$C$22:$N$22,0))/1000,0)*SUMIFS('Regional split'!$F$4:$F$6,'Regional split'!$B$4:$B$6,W$4)</f>
        <v>0</v>
      </c>
      <c r="X71" s="433" cm="1">
        <f t="array" ref="X71">_xlfn.IFNA(INDEX('Data manipulation'!$C$23:$N$128,MATCH($S71&amp;$R71,'Data manipulation'!$B$23:$B$128&amp;'Data manipulation'!$A$23:$A$128,0),MATCH($U71,'Data manipulation'!$C$22:$N$22,0))/1000,0)*SUMIFS('Regional split'!$F$4:$F$6,'Regional split'!$B$4:$B$6,X$4)</f>
        <v>0</v>
      </c>
      <c r="Y71" s="444">
        <f t="shared" si="112"/>
        <v>0</v>
      </c>
      <c r="Z71" s="251">
        <f t="shared" si="128"/>
        <v>0</v>
      </c>
      <c r="AA71" s="445">
        <f t="shared" si="129"/>
        <v>0</v>
      </c>
    </row>
    <row r="72" spans="2:27" ht="15" customHeight="1">
      <c r="B72" s="233" t="str">
        <f t="shared" ref="B72:E72" si="135">B64</f>
        <v>CWTSOLE1</v>
      </c>
      <c r="C72" s="233" t="str">
        <f t="shared" si="135"/>
        <v>Residential Water Hot Technology   - Solar - Existing 1</v>
      </c>
      <c r="D72" s="233" t="str">
        <f t="shared" si="135"/>
        <v>COMSOL</v>
      </c>
      <c r="E72" s="233" t="str">
        <f t="shared" si="135"/>
        <v>CWDEM</v>
      </c>
      <c r="F72" s="569">
        <f t="shared" si="131"/>
        <v>2048</v>
      </c>
      <c r="G72" s="632">
        <v>0</v>
      </c>
      <c r="H72" s="632">
        <v>0</v>
      </c>
      <c r="I72" s="632">
        <v>0</v>
      </c>
      <c r="J72" s="463">
        <v>1</v>
      </c>
      <c r="K72" s="463">
        <v>1</v>
      </c>
      <c r="L72" s="463">
        <v>1</v>
      </c>
      <c r="M72" s="244">
        <f t="shared" si="65"/>
        <v>3.1536000000000002E-2</v>
      </c>
      <c r="N72" s="459">
        <v>1</v>
      </c>
      <c r="O72" s="245">
        <v>30</v>
      </c>
      <c r="P72" s="227"/>
      <c r="Q72" s="268"/>
      <c r="R72" s="268" t="str">
        <f t="shared" si="134"/>
        <v>Hot Water</v>
      </c>
      <c r="S72" s="584" t="s">
        <v>834</v>
      </c>
      <c r="T72" s="246" t="s">
        <v>169</v>
      </c>
      <c r="U72" s="246">
        <v>2018</v>
      </c>
      <c r="V72" s="433" cm="1">
        <f t="array" ref="V72">_xlfn.IFNA(INDEX('Data manipulation'!$C$23:$N$128,MATCH($S72&amp;$R72,'Data manipulation'!$B$23:$B$128&amp;'Data manipulation'!$A$23:$A$128,0),MATCH($U72,'Data manipulation'!$C$22:$N$22,0))/1000,0)*SUMIFS('Regional split'!$F$4:$F$6,'Regional split'!$B$4:$B$6,V$4)</f>
        <v>1.160115</v>
      </c>
      <c r="W72" s="433" cm="1">
        <f t="array" ref="W72">_xlfn.IFNA(INDEX('Data manipulation'!$C$23:$N$128,MATCH($S72&amp;$R72,'Data manipulation'!$B$23:$B$128&amp;'Data manipulation'!$A$23:$A$128,0),MATCH($U72,'Data manipulation'!$C$22:$N$22,0))/1000,0)*SUMIFS('Regional split'!$F$4:$F$6,'Regional split'!$B$4:$B$6,W$4)</f>
        <v>0</v>
      </c>
      <c r="X72" s="433" cm="1">
        <f t="array" ref="X72">_xlfn.IFNA(INDEX('Data manipulation'!$C$23:$N$128,MATCH($S72&amp;$R72,'Data manipulation'!$B$23:$B$128&amp;'Data manipulation'!$A$23:$A$128,0),MATCH($U72,'Data manipulation'!$C$22:$N$22,0))/1000,0)*SUMIFS('Regional split'!$F$4:$F$6,'Regional split'!$B$4:$B$6,X$4)</f>
        <v>0</v>
      </c>
      <c r="Y72" s="444">
        <f t="shared" si="112"/>
        <v>1.160115</v>
      </c>
      <c r="Z72" s="251">
        <f t="shared" si="128"/>
        <v>0</v>
      </c>
      <c r="AA72" s="445">
        <f t="shared" si="129"/>
        <v>0</v>
      </c>
    </row>
    <row r="73" spans="2:27" ht="15" customHeight="1">
      <c r="B73" s="233" t="str">
        <f t="shared" ref="B73:E73" si="136">B65</f>
        <v>CWTELCHE1</v>
      </c>
      <c r="C73" s="233" t="str">
        <f t="shared" si="136"/>
        <v>Residential Water Hot Technology   - Electricity Heating - Existing 1</v>
      </c>
      <c r="D73" s="233" t="str">
        <f t="shared" si="136"/>
        <v>COMELCH</v>
      </c>
      <c r="E73" s="233" t="str">
        <f t="shared" si="136"/>
        <v>CWDEM</v>
      </c>
      <c r="F73" s="569">
        <f t="shared" si="131"/>
        <v>2048</v>
      </c>
      <c r="G73" s="632">
        <v>0</v>
      </c>
      <c r="H73" s="632">
        <v>0</v>
      </c>
      <c r="I73" s="632">
        <v>0</v>
      </c>
      <c r="J73" s="463">
        <v>2.3199999999999998</v>
      </c>
      <c r="K73" s="463">
        <v>2.3199999999999998</v>
      </c>
      <c r="L73" s="463">
        <v>2.3199999999999998</v>
      </c>
      <c r="M73" s="244">
        <f t="shared" si="65"/>
        <v>3.1536000000000002E-2</v>
      </c>
      <c r="N73" s="459">
        <v>1</v>
      </c>
      <c r="O73" s="245">
        <v>30</v>
      </c>
      <c r="P73" s="227"/>
      <c r="Q73" s="268"/>
      <c r="R73" s="268" t="str">
        <f t="shared" si="134"/>
        <v>Hot Water</v>
      </c>
      <c r="S73" s="584" t="s">
        <v>833</v>
      </c>
      <c r="T73" s="246" t="s">
        <v>870</v>
      </c>
      <c r="U73" s="246">
        <v>2018</v>
      </c>
      <c r="V73" s="433" cm="1">
        <f t="array" ref="V73">_xlfn.IFNA(INDEX('Data manipulation'!$C$23:$N$128,MATCH($S73&amp;$R73,'Data manipulation'!$B$23:$B$128&amp;'Data manipulation'!$A$23:$A$128,0),MATCH($U73,'Data manipulation'!$C$22:$N$22,0))/1000,0)*SUMIFS('Regional split'!$F$4:$F$6,'Regional split'!$B$4:$B$6,V$4)</f>
        <v>0.32949000000000006</v>
      </c>
      <c r="W73" s="433" cm="1">
        <f t="array" ref="W73">_xlfn.IFNA(INDEX('Data manipulation'!$C$23:$N$128,MATCH($S73&amp;$R73,'Data manipulation'!$B$23:$B$128&amp;'Data manipulation'!$A$23:$A$128,0),MATCH($U73,'Data manipulation'!$C$22:$N$22,0))/1000,0)*SUMIFS('Regional split'!$F$4:$F$6,'Regional split'!$B$4:$B$6,W$4)</f>
        <v>0</v>
      </c>
      <c r="X73" s="433" cm="1">
        <f t="array" ref="X73">_xlfn.IFNA(INDEX('Data manipulation'!$C$23:$N$128,MATCH($S73&amp;$R73,'Data manipulation'!$B$23:$B$128&amp;'Data manipulation'!$A$23:$A$128,0),MATCH($U73,'Data manipulation'!$C$22:$N$22,0))/1000,0)*SUMIFS('Regional split'!$F$4:$F$6,'Regional split'!$B$4:$B$6,X$4)</f>
        <v>0</v>
      </c>
      <c r="Y73" s="444">
        <f t="shared" si="112"/>
        <v>0.76441680000000012</v>
      </c>
      <c r="Z73" s="251">
        <f t="shared" si="128"/>
        <v>0</v>
      </c>
      <c r="AA73" s="445">
        <f t="shared" si="129"/>
        <v>0</v>
      </c>
    </row>
    <row r="74" spans="2:27" ht="15" customHeight="1">
      <c r="B74" s="233" t="str">
        <f t="shared" ref="B74:E74" si="137">B66</f>
        <v>CWTFIWE1</v>
      </c>
      <c r="C74" s="233" t="str">
        <f t="shared" si="137"/>
        <v>Residential Water Hot Technology   - Fire wood - Existing 1</v>
      </c>
      <c r="D74" s="233" t="str">
        <f t="shared" si="137"/>
        <v>COMFIW</v>
      </c>
      <c r="E74" s="233" t="str">
        <f t="shared" si="137"/>
        <v>CWDEM</v>
      </c>
      <c r="F74" s="569">
        <f t="shared" si="131"/>
        <v>2048</v>
      </c>
      <c r="G74" s="632">
        <v>0</v>
      </c>
      <c r="H74" s="632">
        <v>0</v>
      </c>
      <c r="I74" s="632">
        <v>0</v>
      </c>
      <c r="J74" s="463">
        <v>0.65</v>
      </c>
      <c r="K74" s="463">
        <v>0.65</v>
      </c>
      <c r="L74" s="463">
        <v>0.65</v>
      </c>
      <c r="M74" s="244">
        <f t="shared" si="65"/>
        <v>3.1536000000000002E-2</v>
      </c>
      <c r="N74" s="459">
        <v>1</v>
      </c>
      <c r="O74" s="245">
        <v>30</v>
      </c>
      <c r="P74" s="227"/>
      <c r="Q74" s="268"/>
      <c r="R74" s="268" t="str">
        <f t="shared" si="134"/>
        <v>Hot Water</v>
      </c>
      <c r="S74" s="584" t="s">
        <v>832</v>
      </c>
      <c r="T74" s="246" t="s">
        <v>201</v>
      </c>
      <c r="U74" s="246">
        <v>2018</v>
      </c>
      <c r="V74" s="433" cm="1">
        <f t="array" ref="V74">_xlfn.IFNA(INDEX('Data manipulation'!$C$23:$N$128,MATCH($S74&amp;$R74,'Data manipulation'!$B$23:$B$128&amp;'Data manipulation'!$A$23:$A$128,0),MATCH($U74,'Data manipulation'!$C$22:$N$22,0))/1000,0)*SUMIFS('Regional split'!$F$4:$F$6,'Regional split'!$B$4:$B$6,V$4)</f>
        <v>8.1559231469320181</v>
      </c>
      <c r="W74" s="433" cm="1">
        <f t="array" ref="W74">_xlfn.IFNA(INDEX('Data manipulation'!$C$23:$N$128,MATCH($S74&amp;$R74,'Data manipulation'!$B$23:$B$128&amp;'Data manipulation'!$A$23:$A$128,0),MATCH($U74,'Data manipulation'!$C$22:$N$22,0))/1000,0)*SUMIFS('Regional split'!$F$4:$F$6,'Regional split'!$B$4:$B$6,W$4)</f>
        <v>0</v>
      </c>
      <c r="X74" s="433" cm="1">
        <f t="array" ref="X74">_xlfn.IFNA(INDEX('Data manipulation'!$C$23:$N$128,MATCH($S74&amp;$R74,'Data manipulation'!$B$23:$B$128&amp;'Data manipulation'!$A$23:$A$128,0),MATCH($U74,'Data manipulation'!$C$22:$N$22,0))/1000,0)*SUMIFS('Regional split'!$F$4:$F$6,'Regional split'!$B$4:$B$6,X$4)</f>
        <v>0</v>
      </c>
      <c r="Y74" s="444">
        <f t="shared" si="112"/>
        <v>5.3013500455058118</v>
      </c>
      <c r="Z74" s="251">
        <f t="shared" si="128"/>
        <v>0</v>
      </c>
      <c r="AA74" s="445">
        <f t="shared" si="129"/>
        <v>0</v>
      </c>
    </row>
    <row r="75" spans="2:27" ht="15" customHeight="1">
      <c r="B75" s="233" t="str">
        <f t="shared" ref="B75:E75" si="138">B67</f>
        <v>CWTELCWE1</v>
      </c>
      <c r="C75" s="233" t="str">
        <f t="shared" si="138"/>
        <v>Residential Water Hot Technology   - Electricity Water Heating - Existing 1</v>
      </c>
      <c r="D75" s="233" t="str">
        <f t="shared" si="138"/>
        <v>COMELCW</v>
      </c>
      <c r="E75" s="233" t="str">
        <f t="shared" si="138"/>
        <v>CWDEM</v>
      </c>
      <c r="F75" s="569">
        <f t="shared" si="131"/>
        <v>2048</v>
      </c>
      <c r="G75" s="632">
        <v>0</v>
      </c>
      <c r="H75" s="632">
        <v>0</v>
      </c>
      <c r="I75" s="632">
        <v>0</v>
      </c>
      <c r="J75" s="463">
        <v>1</v>
      </c>
      <c r="K75" s="463">
        <v>1</v>
      </c>
      <c r="L75" s="463">
        <v>1</v>
      </c>
      <c r="M75" s="244">
        <f t="shared" si="65"/>
        <v>3.1536000000000002E-2</v>
      </c>
      <c r="N75" s="459">
        <v>1</v>
      </c>
      <c r="O75" s="245">
        <v>30</v>
      </c>
      <c r="P75" s="227"/>
      <c r="Q75" s="268"/>
      <c r="R75" s="268" t="str">
        <f t="shared" si="134"/>
        <v>Hot Water</v>
      </c>
      <c r="S75" s="584" t="s">
        <v>73</v>
      </c>
      <c r="T75" s="246" t="s">
        <v>873</v>
      </c>
      <c r="U75" s="246">
        <v>2018</v>
      </c>
      <c r="V75" s="433" cm="1">
        <f t="array" ref="V75">_xlfn.IFNA(INDEX('Data manipulation'!$C$23:$N$128,MATCH($S75&amp;$R75,'Data manipulation'!$B$23:$B$128&amp;'Data manipulation'!$A$23:$A$128,0),MATCH($U75,'Data manipulation'!$C$22:$N$22,0))/1000,0)*SUMIFS('Regional split'!$F$4:$F$6,'Regional split'!$B$4:$B$6,V$4)</f>
        <v>55.193101807836008</v>
      </c>
      <c r="W75" s="433" cm="1">
        <f t="array" ref="W75">_xlfn.IFNA(INDEX('Data manipulation'!$C$23:$N$128,MATCH($S75&amp;$R75,'Data manipulation'!$B$23:$B$128&amp;'Data manipulation'!$A$23:$A$128,0),MATCH($U75,'Data manipulation'!$C$22:$N$22,0))/1000,0)*SUMIFS('Regional split'!$F$4:$F$6,'Regional split'!$B$4:$B$6,W$4)</f>
        <v>0</v>
      </c>
      <c r="X75" s="433" cm="1">
        <f t="array" ref="X75">_xlfn.IFNA(INDEX('Data manipulation'!$C$23:$N$128,MATCH($S75&amp;$R75,'Data manipulation'!$B$23:$B$128&amp;'Data manipulation'!$A$23:$A$128,0),MATCH($U75,'Data manipulation'!$C$22:$N$22,0))/1000,0)*SUMIFS('Regional split'!$F$4:$F$6,'Regional split'!$B$4:$B$6,X$4)</f>
        <v>0</v>
      </c>
      <c r="Y75" s="444">
        <f t="shared" si="112"/>
        <v>55.193101807836008</v>
      </c>
      <c r="Z75" s="251">
        <f t="shared" si="128"/>
        <v>0</v>
      </c>
      <c r="AA75" s="445">
        <f t="shared" si="129"/>
        <v>0</v>
      </c>
    </row>
    <row r="76" spans="2:27" ht="15" customHeight="1">
      <c r="B76" s="233" t="str">
        <f t="shared" ref="B76:E76" si="139">B68</f>
        <v>CWTHCEE1</v>
      </c>
      <c r="C76" s="233" t="str">
        <f t="shared" si="139"/>
        <v>Residential Water Hot Technology   - District heating Central - Existing 1</v>
      </c>
      <c r="D76" s="233" t="str">
        <f t="shared" si="139"/>
        <v>COMELCW</v>
      </c>
      <c r="E76" s="233" t="str">
        <f t="shared" si="139"/>
        <v>CWDEM</v>
      </c>
      <c r="F76" s="569">
        <f t="shared" si="131"/>
        <v>2048</v>
      </c>
      <c r="G76" s="632">
        <v>0</v>
      </c>
      <c r="H76" s="632">
        <v>0</v>
      </c>
      <c r="I76" s="632">
        <v>0</v>
      </c>
      <c r="J76" s="463">
        <v>0.95</v>
      </c>
      <c r="K76" s="463">
        <v>0.95</v>
      </c>
      <c r="L76" s="463">
        <v>0.95</v>
      </c>
      <c r="M76" s="244">
        <f t="shared" si="65"/>
        <v>3.1536000000000002E-2</v>
      </c>
      <c r="N76" s="459">
        <v>1</v>
      </c>
      <c r="O76" s="245">
        <v>30</v>
      </c>
      <c r="P76" s="227"/>
      <c r="Q76" s="268"/>
      <c r="R76" s="268" t="str">
        <f t="shared" si="134"/>
        <v>Hot Water</v>
      </c>
      <c r="S76" s="584" t="s">
        <v>200</v>
      </c>
      <c r="T76" s="246" t="s">
        <v>200</v>
      </c>
      <c r="U76" s="246">
        <v>2018</v>
      </c>
      <c r="V76" s="433" cm="1">
        <f t="array" ref="V76">_xlfn.IFNA(INDEX('Data manipulation'!$C$23:$N$128,MATCH($S76&amp;$R76,'Data manipulation'!$B$23:$B$128&amp;'Data manipulation'!$A$23:$A$128,0),MATCH($U76,'Data manipulation'!$C$22:$N$22,0))/1000,0)*SUMIFS('Regional split'!$F$4:$F$6,'Regional split'!$B$4:$B$6,V$4)</f>
        <v>4.9018011915891275</v>
      </c>
      <c r="W76" s="433" cm="1">
        <f t="array" ref="W76">_xlfn.IFNA(INDEX('Data manipulation'!$C$23:$N$128,MATCH($S76&amp;$R76,'Data manipulation'!$B$23:$B$128&amp;'Data manipulation'!$A$23:$A$128,0),MATCH($U76,'Data manipulation'!$C$22:$N$22,0))/1000,0)*SUMIFS('Regional split'!$F$4:$F$6,'Regional split'!$B$4:$B$6,W$4)</f>
        <v>0</v>
      </c>
      <c r="X76" s="433" cm="1">
        <f t="array" ref="X76">_xlfn.IFNA(INDEX('Data manipulation'!$C$23:$N$128,MATCH($S76&amp;$R76,'Data manipulation'!$B$23:$B$128&amp;'Data manipulation'!$A$23:$A$128,0),MATCH($U76,'Data manipulation'!$C$22:$N$22,0))/1000,0)*SUMIFS('Regional split'!$F$4:$F$6,'Regional split'!$B$4:$B$6,X$4)</f>
        <v>0</v>
      </c>
      <c r="Y76" s="444">
        <f t="shared" si="112"/>
        <v>4.6567111320096712</v>
      </c>
      <c r="Z76" s="251">
        <f t="shared" si="128"/>
        <v>0</v>
      </c>
      <c r="AA76" s="445">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abSelected="1" zoomScale="80" zoomScaleNormal="80" workbookViewId="0">
      <selection activeCell="P25" sqref="P25"/>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162</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174</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7" t="s">
        <v>956</v>
      </c>
      <c r="Y4" s="438" t="s">
        <v>969</v>
      </c>
      <c r="Z4" s="439" t="s">
        <v>972</v>
      </c>
      <c r="AA4" s="437" t="s">
        <v>956</v>
      </c>
      <c r="AB4" s="438" t="s">
        <v>969</v>
      </c>
      <c r="AC4" s="439" t="s">
        <v>972</v>
      </c>
    </row>
    <row r="5" spans="2:30" ht="26">
      <c r="B5" s="238" t="s">
        <v>2</v>
      </c>
      <c r="C5" s="238" t="s">
        <v>26</v>
      </c>
      <c r="D5" s="422" t="s">
        <v>757</v>
      </c>
      <c r="E5" s="422" t="s">
        <v>758</v>
      </c>
      <c r="F5" s="238" t="s">
        <v>14</v>
      </c>
      <c r="G5" s="238" t="s">
        <v>15</v>
      </c>
      <c r="H5" s="422" t="s">
        <v>94</v>
      </c>
      <c r="I5" s="239" t="s">
        <v>944</v>
      </c>
      <c r="J5" s="239" t="s">
        <v>957</v>
      </c>
      <c r="K5" s="239" t="s">
        <v>973</v>
      </c>
      <c r="L5" s="240" t="s">
        <v>952</v>
      </c>
      <c r="M5" s="240" t="s">
        <v>965</v>
      </c>
      <c r="N5" s="240" t="s">
        <v>974</v>
      </c>
      <c r="O5" s="238" t="s">
        <v>0</v>
      </c>
      <c r="P5" s="238" t="s">
        <v>165</v>
      </c>
      <c r="Q5" s="239" t="s">
        <v>93</v>
      </c>
      <c r="R5" s="227"/>
      <c r="S5" s="227"/>
      <c r="T5" s="227"/>
      <c r="U5" s="227"/>
      <c r="V5" s="227"/>
      <c r="W5" s="227"/>
      <c r="X5" s="273" t="s">
        <v>75</v>
      </c>
      <c r="Y5" s="272" t="s">
        <v>75</v>
      </c>
      <c r="Z5" s="440" t="s">
        <v>75</v>
      </c>
      <c r="AA5" s="273" t="s">
        <v>71</v>
      </c>
      <c r="AB5" s="272" t="s">
        <v>71</v>
      </c>
      <c r="AC5" s="440"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756</v>
      </c>
      <c r="Q6" s="242" t="s">
        <v>94</v>
      </c>
      <c r="R6" s="227"/>
      <c r="S6" s="227"/>
      <c r="T6" s="227"/>
      <c r="U6" s="227"/>
      <c r="V6" s="227"/>
      <c r="W6" s="227" t="s">
        <v>94</v>
      </c>
      <c r="X6" s="275" t="s">
        <v>48</v>
      </c>
      <c r="Y6" s="458" t="s">
        <v>48</v>
      </c>
      <c r="Z6" s="441" t="s">
        <v>48</v>
      </c>
      <c r="AA6" s="275" t="s">
        <v>70</v>
      </c>
      <c r="AB6" s="274" t="s">
        <v>70</v>
      </c>
      <c r="AC6" s="441" t="s">
        <v>70</v>
      </c>
    </row>
    <row r="7" spans="2:30" ht="14.5">
      <c r="B7" s="233" t="str">
        <f>Processes!D97</f>
        <v>CCTUMELCAE1</v>
      </c>
      <c r="C7" s="233" t="str">
        <f>Processes!E97</f>
        <v>Residential Cooling Technology Urban Multi - Electricity Appliances - Existing 1</v>
      </c>
      <c r="D7" s="227" t="s">
        <v>714</v>
      </c>
      <c r="E7" s="227" t="s">
        <v>102</v>
      </c>
      <c r="F7" s="230" t="str">
        <f>Commodities!$C$30</f>
        <v>COMELCC</v>
      </c>
      <c r="G7" s="230" t="str">
        <f>Commodities!$C$55</f>
        <v>COMCUDB</v>
      </c>
      <c r="H7" s="230">
        <v>2010</v>
      </c>
      <c r="I7" s="250">
        <f>ROUNDUP(AA7/($O7*$P7)*$I$2,1)</f>
        <v>0</v>
      </c>
      <c r="J7" s="250">
        <f t="shared" ref="J7:J14" si="0">ROUNDUP(AB7/($O7*$P7)*$I$2,1)</f>
        <v>0</v>
      </c>
      <c r="K7" s="250">
        <f t="shared" ref="K7:K14" si="1">ROUNDUP(AC7/($O7*$P7)*$I$2,1)</f>
        <v>0</v>
      </c>
      <c r="L7" s="463">
        <v>1</v>
      </c>
      <c r="M7" s="463">
        <v>1</v>
      </c>
      <c r="N7" s="463">
        <v>1</v>
      </c>
      <c r="O7" s="244">
        <f t="shared" ref="O7:O10" si="2">31.536/1000</f>
        <v>3.1536000000000002E-2</v>
      </c>
      <c r="P7" s="459">
        <v>0.1</v>
      </c>
      <c r="Q7" s="245">
        <v>30</v>
      </c>
      <c r="R7" s="227"/>
      <c r="S7" s="268"/>
      <c r="T7" s="268"/>
      <c r="U7" s="227" t="s">
        <v>73</v>
      </c>
      <c r="V7" s="254" t="s">
        <v>170</v>
      </c>
      <c r="W7" s="246">
        <v>2010</v>
      </c>
      <c r="X7" s="433">
        <f>_xlfn.IFNA(INDEX('Data manipulation'!$C$110:$O$127,MATCH($U7,'Data manipulation'!$B$110:$B$127,0),MATCH($W7,'Data manipulation'!$C$109:$N$109,0))/1000,0)*SUMIFS('Regional split'!$F$4:$F$6,'Regional split'!$B$4:$B$6,X$4)*SUMIFS('Data manipulation'!$V$46:$V$49,'Data manipulation'!$X$46:$X$49,$E7,'Data manipulation'!$Y$46:$Y$49,$D7)</f>
        <v>0</v>
      </c>
      <c r="Y7" s="433">
        <f>_xlfn.IFNA(INDEX('Data manipulation'!$C$110:$O$127,MATCH($U7,'Data manipulation'!$B$110:$B$127,0),MATCH($W7,'Data manipulation'!$C$109:$N$109,0))/1000,0)*SUMIFS('Regional split'!$F$4:$F$6,'Regional split'!$B$4:$B$6,Y$4)*SUMIFS('Data manipulation'!$V$46:$V$49,'Data manipulation'!$X$46:$X$49,$E7,'Data manipulation'!$Y$46:$Y$49,$D7)</f>
        <v>0</v>
      </c>
      <c r="Z7" s="433">
        <f>_xlfn.IFNA(INDEX('Data manipulation'!$C$110:$O$127,MATCH($U7,'Data manipulation'!$B$110:$B$127,0),MATCH($W7,'Data manipulation'!$C$109:$N$109,0))/1000,0)*SUMIFS('Regional split'!$F$4:$F$6,'Regional split'!$B$4:$B$6,Z$4)*SUMIFS('Data manipulation'!$V$46:$V$49,'Data manipulation'!$X$46:$X$49,$E7,'Data manipulation'!$Y$46:$Y$49,$D7)</f>
        <v>0</v>
      </c>
      <c r="AA7" s="444">
        <f t="shared" ref="AA7:AC12" si="3">X7*L7</f>
        <v>0</v>
      </c>
      <c r="AB7" s="251">
        <f t="shared" si="3"/>
        <v>0</v>
      </c>
      <c r="AC7" s="445">
        <f t="shared" si="3"/>
        <v>0</v>
      </c>
    </row>
    <row r="8" spans="2:30" ht="14.5">
      <c r="B8" s="233" t="str">
        <f>Processes!D98</f>
        <v>CCTRMELCAE1</v>
      </c>
      <c r="C8" s="233" t="str">
        <f>Processes!E98</f>
        <v>Residential Cooling Technology Rural Multi - Electricity Appliances - Existing 1</v>
      </c>
      <c r="D8" s="233" t="s">
        <v>715</v>
      </c>
      <c r="E8" s="233" t="s">
        <v>102</v>
      </c>
      <c r="F8" s="230" t="str">
        <f>Commodities!$C$30</f>
        <v>COMELCC</v>
      </c>
      <c r="G8" s="259" t="str">
        <f>Commodities!$C$56</f>
        <v>COMCRDB</v>
      </c>
      <c r="H8" s="259">
        <v>2010</v>
      </c>
      <c r="I8" s="250">
        <f t="shared" ref="I8:I14" si="4">ROUNDUP(AA8/($O8*$P8)*$I$2,1)</f>
        <v>0</v>
      </c>
      <c r="J8" s="250">
        <f t="shared" si="0"/>
        <v>0</v>
      </c>
      <c r="K8" s="250">
        <f t="shared" si="1"/>
        <v>0</v>
      </c>
      <c r="L8" s="463">
        <v>1</v>
      </c>
      <c r="M8" s="463">
        <v>1</v>
      </c>
      <c r="N8" s="463">
        <v>1</v>
      </c>
      <c r="O8" s="244">
        <f t="shared" si="2"/>
        <v>3.1536000000000002E-2</v>
      </c>
      <c r="P8" s="459">
        <v>0.1</v>
      </c>
      <c r="Q8" s="245">
        <v>30</v>
      </c>
      <c r="R8" s="227"/>
      <c r="S8" s="268"/>
      <c r="T8" s="268"/>
      <c r="U8" s="227" t="s">
        <v>73</v>
      </c>
      <c r="V8" s="254" t="s">
        <v>170</v>
      </c>
      <c r="W8" s="246">
        <v>2010</v>
      </c>
      <c r="X8" s="433">
        <f>_xlfn.IFNA(INDEX('Data manipulation'!$C$110:$O$127,MATCH($U8,'Data manipulation'!$B$110:$B$127,0),MATCH($W8,'Data manipulation'!$C$109:$N$109,0))/1000,0)*SUMIFS('Regional split'!$F$4:$F$6,'Regional split'!$B$4:$B$6,X$4)*SUMIFS('Data manipulation'!$V$46:$V$49,'Data manipulation'!$X$46:$X$49,$E8,'Data manipulation'!$Y$46:$Y$49,$D8)</f>
        <v>0</v>
      </c>
      <c r="Y8" s="433">
        <f>_xlfn.IFNA(INDEX('Data manipulation'!$C$110:$O$127,MATCH($U8,'Data manipulation'!$B$110:$B$127,0),MATCH($W8,'Data manipulation'!$C$109:$N$109,0))/1000,0)*SUMIFS('Regional split'!$F$4:$F$6,'Regional split'!$B$4:$B$6,Y$4)*SUMIFS('Data manipulation'!$V$46:$V$49,'Data manipulation'!$X$46:$X$49,$E8,'Data manipulation'!$Y$46:$Y$49,$D8)</f>
        <v>0</v>
      </c>
      <c r="Z8" s="433">
        <f>_xlfn.IFNA(INDEX('Data manipulation'!$C$110:$O$127,MATCH($U8,'Data manipulation'!$B$110:$B$127,0),MATCH($W8,'Data manipulation'!$C$109:$N$109,0))/1000,0)*SUMIFS('Regional split'!$F$4:$F$6,'Regional split'!$B$4:$B$6,Z$4)*SUMIFS('Data manipulation'!$V$46:$V$49,'Data manipulation'!$X$46:$X$49,$E8,'Data manipulation'!$Y$46:$Y$49,$D8)</f>
        <v>0</v>
      </c>
      <c r="AA8" s="444">
        <f t="shared" si="3"/>
        <v>0</v>
      </c>
      <c r="AB8" s="251">
        <f t="shared" si="3"/>
        <v>0</v>
      </c>
      <c r="AC8" s="445">
        <f t="shared" si="3"/>
        <v>0</v>
      </c>
    </row>
    <row r="9" spans="2:30" ht="14.5">
      <c r="B9" s="233" t="str">
        <f>Processes!D99</f>
        <v>CCTUDELCAE1</v>
      </c>
      <c r="C9" s="233" t="str">
        <f>Processes!E99</f>
        <v>Residential Cooling Technology Urban Detached - Electricity Appliances - Existing 1</v>
      </c>
      <c r="D9" s="227" t="s">
        <v>714</v>
      </c>
      <c r="E9" s="227" t="s">
        <v>759</v>
      </c>
      <c r="F9" s="230" t="str">
        <f>Commodities!$C$30</f>
        <v>COMELCC</v>
      </c>
      <c r="G9" s="259" t="str">
        <f>Commodities!$C$57</f>
        <v>COMCUMB</v>
      </c>
      <c r="H9" s="259">
        <v>2010</v>
      </c>
      <c r="I9" s="250">
        <f t="shared" si="4"/>
        <v>0</v>
      </c>
      <c r="J9" s="250">
        <f t="shared" si="0"/>
        <v>0</v>
      </c>
      <c r="K9" s="250">
        <f t="shared" si="1"/>
        <v>0</v>
      </c>
      <c r="L9" s="463">
        <v>1</v>
      </c>
      <c r="M9" s="463">
        <v>1</v>
      </c>
      <c r="N9" s="463">
        <v>1</v>
      </c>
      <c r="O9" s="244">
        <f t="shared" si="2"/>
        <v>3.1536000000000002E-2</v>
      </c>
      <c r="P9" s="459">
        <v>0.1</v>
      </c>
      <c r="Q9" s="245">
        <v>30</v>
      </c>
      <c r="R9" s="227"/>
      <c r="S9" s="268"/>
      <c r="T9" s="268"/>
      <c r="U9" s="227" t="s">
        <v>73</v>
      </c>
      <c r="V9" s="254" t="s">
        <v>170</v>
      </c>
      <c r="W9" s="246">
        <v>2010</v>
      </c>
      <c r="X9" s="433">
        <f>_xlfn.IFNA(INDEX('Data manipulation'!$C$110:$O$127,MATCH($U9,'Data manipulation'!$B$110:$B$127,0),MATCH($W9,'Data manipulation'!$C$109:$N$109,0))/1000,0)*SUMIFS('Regional split'!$F$4:$F$6,'Regional split'!$B$4:$B$6,X$4)*SUMIFS('Data manipulation'!$V$46:$V$49,'Data manipulation'!$X$46:$X$49,$E9,'Data manipulation'!$Y$46:$Y$49,$D9)</f>
        <v>0</v>
      </c>
      <c r="Y9" s="433">
        <f>_xlfn.IFNA(INDEX('Data manipulation'!$C$110:$O$127,MATCH($U9,'Data manipulation'!$B$110:$B$127,0),MATCH($W9,'Data manipulation'!$C$109:$N$109,0))/1000,0)*SUMIFS('Regional split'!$F$4:$F$6,'Regional split'!$B$4:$B$6,Y$4)*SUMIFS('Data manipulation'!$V$46:$V$49,'Data manipulation'!$X$46:$X$49,$E9,'Data manipulation'!$Y$46:$Y$49,$D9)</f>
        <v>0</v>
      </c>
      <c r="Z9" s="433">
        <f>_xlfn.IFNA(INDEX('Data manipulation'!$C$110:$O$127,MATCH($U9,'Data manipulation'!$B$110:$B$127,0),MATCH($W9,'Data manipulation'!$C$109:$N$109,0))/1000,0)*SUMIFS('Regional split'!$F$4:$F$6,'Regional split'!$B$4:$B$6,Z$4)*SUMIFS('Data manipulation'!$V$46:$V$49,'Data manipulation'!$X$46:$X$49,$E9,'Data manipulation'!$Y$46:$Y$49,$D9)</f>
        <v>0</v>
      </c>
      <c r="AA9" s="444">
        <f t="shared" ref="AA9:AA10" si="5">X9*L9</f>
        <v>0</v>
      </c>
      <c r="AB9" s="251">
        <f t="shared" ref="AB9:AB10" si="6">Y9*M9</f>
        <v>0</v>
      </c>
      <c r="AC9" s="445">
        <f t="shared" ref="AC9:AC10" si="7">Z9*N9</f>
        <v>0</v>
      </c>
      <c r="AD9" s="623"/>
    </row>
    <row r="10" spans="2:30" ht="14.5">
      <c r="B10" s="233" t="str">
        <f>Processes!D100</f>
        <v>CCTRDELCAE1</v>
      </c>
      <c r="C10" s="233" t="str">
        <f>Processes!E100</f>
        <v>Residential Cooling Technology Rural Detached - Electricity Appliances - Existing 1</v>
      </c>
      <c r="D10" s="233" t="s">
        <v>715</v>
      </c>
      <c r="E10" s="233" t="s">
        <v>759</v>
      </c>
      <c r="F10" s="230" t="str">
        <f>Commodities!$C$30</f>
        <v>COMELCC</v>
      </c>
      <c r="G10" s="259" t="str">
        <f>Commodities!$C$58</f>
        <v>COMCRMB</v>
      </c>
      <c r="H10" s="259">
        <v>2010</v>
      </c>
      <c r="I10" s="250">
        <f t="shared" si="4"/>
        <v>0</v>
      </c>
      <c r="J10" s="250">
        <f t="shared" si="0"/>
        <v>0</v>
      </c>
      <c r="K10" s="250">
        <f t="shared" si="1"/>
        <v>0</v>
      </c>
      <c r="L10" s="463">
        <v>1</v>
      </c>
      <c r="M10" s="463">
        <v>1</v>
      </c>
      <c r="N10" s="463">
        <v>1</v>
      </c>
      <c r="O10" s="244">
        <f t="shared" si="2"/>
        <v>3.1536000000000002E-2</v>
      </c>
      <c r="P10" s="459">
        <v>0.1</v>
      </c>
      <c r="Q10" s="245">
        <v>30</v>
      </c>
      <c r="R10" s="227"/>
      <c r="S10" s="268"/>
      <c r="T10" s="268"/>
      <c r="U10" s="227" t="s">
        <v>73</v>
      </c>
      <c r="V10" s="254" t="s">
        <v>170</v>
      </c>
      <c r="W10" s="246">
        <v>2010</v>
      </c>
      <c r="X10" s="433">
        <f>_xlfn.IFNA(INDEX('Data manipulation'!$C$110:$O$127,MATCH($U10,'Data manipulation'!$B$110:$B$127,0),MATCH($W10,'Data manipulation'!$C$109:$N$109,0))/1000,0)*SUMIFS('Regional split'!$F$4:$F$6,'Regional split'!$B$4:$B$6,X$4)*SUMIFS('Data manipulation'!$V$46:$V$49,'Data manipulation'!$X$46:$X$49,$E10,'Data manipulation'!$Y$46:$Y$49,$D10)</f>
        <v>0</v>
      </c>
      <c r="Y10" s="433">
        <f>_xlfn.IFNA(INDEX('Data manipulation'!$C$110:$O$127,MATCH($U10,'Data manipulation'!$B$110:$B$127,0),MATCH($W10,'Data manipulation'!$C$109:$N$109,0))/1000,0)*SUMIFS('Regional split'!$F$4:$F$6,'Regional split'!$B$4:$B$6,Y$4)*SUMIFS('Data manipulation'!$V$46:$V$49,'Data manipulation'!$X$46:$X$49,$E10,'Data manipulation'!$Y$46:$Y$49,$D10)</f>
        <v>0</v>
      </c>
      <c r="Z10" s="433">
        <f>_xlfn.IFNA(INDEX('Data manipulation'!$C$110:$O$127,MATCH($U10,'Data manipulation'!$B$110:$B$127,0),MATCH($W10,'Data manipulation'!$C$109:$N$109,0))/1000,0)*SUMIFS('Regional split'!$F$4:$F$6,'Regional split'!$B$4:$B$6,Z$4)*SUMIFS('Data manipulation'!$V$46:$V$49,'Data manipulation'!$X$46:$X$49,$E10,'Data manipulation'!$Y$46:$Y$49,$D10)</f>
        <v>0</v>
      </c>
      <c r="AA10" s="444">
        <f t="shared" si="5"/>
        <v>0</v>
      </c>
      <c r="AB10" s="251">
        <f t="shared" si="6"/>
        <v>0</v>
      </c>
      <c r="AC10" s="445">
        <f t="shared" si="7"/>
        <v>0</v>
      </c>
    </row>
    <row r="11" spans="2:30" ht="14.5">
      <c r="B11" s="233" t="str">
        <f t="shared" ref="B11:G14" si="8">B7</f>
        <v>CCTUMELCAE1</v>
      </c>
      <c r="C11" s="233" t="str">
        <f t="shared" si="8"/>
        <v>Residential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439.8</v>
      </c>
      <c r="J11" s="250">
        <f t="shared" si="0"/>
        <v>0</v>
      </c>
      <c r="K11" s="250">
        <f t="shared" si="1"/>
        <v>0</v>
      </c>
      <c r="L11" s="463">
        <v>1</v>
      </c>
      <c r="M11" s="463">
        <v>1</v>
      </c>
      <c r="N11" s="463">
        <v>1</v>
      </c>
      <c r="O11" s="244">
        <f t="shared" ref="O11:O22" si="9">31.536/1000</f>
        <v>3.1536000000000002E-2</v>
      </c>
      <c r="P11" s="459">
        <v>0.1</v>
      </c>
      <c r="Q11" s="245">
        <v>30</v>
      </c>
      <c r="R11" s="227"/>
      <c r="S11" s="227"/>
      <c r="T11" s="268"/>
      <c r="U11" s="227" t="s">
        <v>73</v>
      </c>
      <c r="V11" s="254" t="s">
        <v>170</v>
      </c>
      <c r="W11" s="246">
        <v>2015</v>
      </c>
      <c r="X11" s="433">
        <f>_xlfn.IFNA(INDEX('Data manipulation'!$C$110:$O$127,MATCH($U11,'Data manipulation'!$B$110:$B$127,0),MATCH($W11,'Data manipulation'!$C$109:$N$109,0))/1000,0)*SUMIFS('Regional split'!$F$4:$F$6,'Regional split'!$B$4:$B$6,X$4)*SUMIFS('Data manipulation'!$V$46:$V$49,'Data manipulation'!$X$46:$X$49,$E11,'Data manipulation'!$Y$46:$Y$49,$D11)</f>
        <v>1.3595640629632912</v>
      </c>
      <c r="Y11" s="433">
        <f>_xlfn.IFNA(INDEX('Data manipulation'!$C$110:$O$127,MATCH($U11,'Data manipulation'!$B$110:$B$127,0),MATCH($W11,'Data manipulation'!$C$109:$N$109,0))/1000,0)*SUMIFS('Regional split'!$F$4:$F$6,'Regional split'!$B$4:$B$6,Y$4)*SUMIFS('Data manipulation'!$V$46:$V$49,'Data manipulation'!$X$46:$X$49,$E11,'Data manipulation'!$Y$46:$Y$49,$D11)</f>
        <v>0</v>
      </c>
      <c r="Z11" s="433">
        <f>_xlfn.IFNA(INDEX('Data manipulation'!$C$110:$O$127,MATCH($U11,'Data manipulation'!$B$110:$B$127,0),MATCH($W11,'Data manipulation'!$C$109:$N$109,0))/1000,0)*SUMIFS('Regional split'!$F$4:$F$6,'Regional split'!$B$4:$B$6,Z$4)*SUMIFS('Data manipulation'!$V$46:$V$49,'Data manipulation'!$X$46:$X$49,$E11,'Data manipulation'!$Y$46:$Y$49,$D11)</f>
        <v>0</v>
      </c>
      <c r="AA11" s="444">
        <f t="shared" si="3"/>
        <v>1.3595640629632912</v>
      </c>
      <c r="AB11" s="251">
        <f t="shared" si="3"/>
        <v>0</v>
      </c>
      <c r="AC11" s="445">
        <f t="shared" si="3"/>
        <v>0</v>
      </c>
    </row>
    <row r="12" spans="2:30" ht="14.5">
      <c r="B12" s="233" t="str">
        <f t="shared" si="8"/>
        <v>CCTRMELCAE1</v>
      </c>
      <c r="C12" s="233" t="str">
        <f t="shared" si="8"/>
        <v>Residential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712.80000000000007</v>
      </c>
      <c r="J12" s="250">
        <f t="shared" si="0"/>
        <v>0</v>
      </c>
      <c r="K12" s="250">
        <f t="shared" si="1"/>
        <v>0</v>
      </c>
      <c r="L12" s="463">
        <v>1</v>
      </c>
      <c r="M12" s="463">
        <v>1</v>
      </c>
      <c r="N12" s="463">
        <v>1</v>
      </c>
      <c r="O12" s="244">
        <f t="shared" si="9"/>
        <v>3.1536000000000002E-2</v>
      </c>
      <c r="P12" s="459">
        <v>0.1</v>
      </c>
      <c r="Q12" s="245">
        <v>30</v>
      </c>
      <c r="R12" s="227"/>
      <c r="S12" s="227"/>
      <c r="T12" s="268"/>
      <c r="U12" s="227" t="s">
        <v>73</v>
      </c>
      <c r="V12" s="254" t="s">
        <v>170</v>
      </c>
      <c r="W12" s="246">
        <v>2015</v>
      </c>
      <c r="X12" s="433">
        <f>_xlfn.IFNA(INDEX('Data manipulation'!$C$110:$O$127,MATCH($U12,'Data manipulation'!$B$110:$B$127,0),MATCH($W12,'Data manipulation'!$C$109:$N$109,0))/1000,0)*SUMIFS('Regional split'!$F$4:$F$6,'Regional split'!$B$4:$B$6,X$4)*SUMIFS('Data manipulation'!$V$46:$V$49,'Data manipulation'!$X$46:$X$49,$E12,'Data manipulation'!$Y$46:$Y$49,$D12)</f>
        <v>2.2036056931300925</v>
      </c>
      <c r="Y12" s="433">
        <f>_xlfn.IFNA(INDEX('Data manipulation'!$C$110:$O$127,MATCH($U12,'Data manipulation'!$B$110:$B$127,0),MATCH($W12,'Data manipulation'!$C$109:$N$109,0))/1000,0)*SUMIFS('Regional split'!$F$4:$F$6,'Regional split'!$B$4:$B$6,Y$4)*SUMIFS('Data manipulation'!$V$46:$V$49,'Data manipulation'!$X$46:$X$49,$E12,'Data manipulation'!$Y$46:$Y$49,$D12)</f>
        <v>0</v>
      </c>
      <c r="Z12" s="433">
        <f>_xlfn.IFNA(INDEX('Data manipulation'!$C$110:$O$127,MATCH($U12,'Data manipulation'!$B$110:$B$127,0),MATCH($W12,'Data manipulation'!$C$109:$N$109,0))/1000,0)*SUMIFS('Regional split'!$F$4:$F$6,'Regional split'!$B$4:$B$6,Z$4)*SUMIFS('Data manipulation'!$V$46:$V$49,'Data manipulation'!$X$46:$X$49,$E12,'Data manipulation'!$Y$46:$Y$49,$D12)</f>
        <v>0</v>
      </c>
      <c r="AA12" s="444">
        <f t="shared" si="3"/>
        <v>2.2036056931300925</v>
      </c>
      <c r="AB12" s="251">
        <f t="shared" si="3"/>
        <v>0</v>
      </c>
      <c r="AC12" s="445">
        <f t="shared" si="3"/>
        <v>0</v>
      </c>
    </row>
    <row r="13" spans="2:30" ht="14.5">
      <c r="B13" s="233" t="str">
        <f t="shared" si="8"/>
        <v>CCTUDELCAE1</v>
      </c>
      <c r="C13" s="233" t="str">
        <f t="shared" si="8"/>
        <v>Residential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452.90000000000003</v>
      </c>
      <c r="J13" s="250">
        <f t="shared" si="0"/>
        <v>0</v>
      </c>
      <c r="K13" s="250">
        <f t="shared" si="1"/>
        <v>0</v>
      </c>
      <c r="L13" s="463">
        <v>1</v>
      </c>
      <c r="M13" s="463">
        <v>1</v>
      </c>
      <c r="N13" s="463">
        <v>1</v>
      </c>
      <c r="O13" s="244">
        <f t="shared" si="9"/>
        <v>3.1536000000000002E-2</v>
      </c>
      <c r="P13" s="459">
        <v>0.1</v>
      </c>
      <c r="Q13" s="245">
        <v>30</v>
      </c>
      <c r="R13" s="227"/>
      <c r="S13" s="227"/>
      <c r="T13" s="268"/>
      <c r="U13" s="227" t="s">
        <v>73</v>
      </c>
      <c r="V13" s="254" t="s">
        <v>170</v>
      </c>
      <c r="W13" s="246">
        <v>2015</v>
      </c>
      <c r="X13" s="433">
        <f>_xlfn.IFNA(INDEX('Data manipulation'!$C$110:$O$127,MATCH($U13,'Data manipulation'!$B$110:$B$127,0),MATCH($W13,'Data manipulation'!$C$109:$N$109,0))/1000,0)*SUMIFS('Regional split'!$F$4:$F$6,'Regional split'!$B$4:$B$6,X$4)*SUMIFS('Data manipulation'!$V$46:$V$49,'Data manipulation'!$X$46:$X$49,$E13,'Data manipulation'!$Y$46:$Y$49,$D13)</f>
        <v>1.3999971949473295</v>
      </c>
      <c r="Y13" s="433">
        <f>_xlfn.IFNA(INDEX('Data manipulation'!$C$110:$O$127,MATCH($U13,'Data manipulation'!$B$110:$B$127,0),MATCH($W13,'Data manipulation'!$C$109:$N$109,0))/1000,0)*SUMIFS('Regional split'!$F$4:$F$6,'Regional split'!$B$4:$B$6,Y$4)*SUMIFS('Data manipulation'!$V$46:$V$49,'Data manipulation'!$X$46:$X$49,$E13,'Data manipulation'!$Y$46:$Y$49,$D13)</f>
        <v>0</v>
      </c>
      <c r="Z13" s="433">
        <f>_xlfn.IFNA(INDEX('Data manipulation'!$C$110:$O$127,MATCH($U13,'Data manipulation'!$B$110:$B$127,0),MATCH($W13,'Data manipulation'!$C$109:$N$109,0))/1000,0)*SUMIFS('Regional split'!$F$4:$F$6,'Regional split'!$B$4:$B$6,Z$4)*SUMIFS('Data manipulation'!$V$46:$V$49,'Data manipulation'!$X$46:$X$49,$E13,'Data manipulation'!$Y$46:$Y$49,$D13)</f>
        <v>0</v>
      </c>
      <c r="AA13" s="444">
        <f t="shared" ref="AA13:AA20" si="10">X13*L13</f>
        <v>1.3999971949473295</v>
      </c>
      <c r="AB13" s="251">
        <f t="shared" ref="AB13:AB20" si="11">Y13*M13</f>
        <v>0</v>
      </c>
      <c r="AC13" s="445">
        <f t="shared" ref="AC13:AC20" si="12">Z13*N13</f>
        <v>0</v>
      </c>
    </row>
    <row r="14" spans="2:30" ht="14.5">
      <c r="B14" s="233" t="str">
        <f t="shared" si="8"/>
        <v>CCTRDELCAE1</v>
      </c>
      <c r="C14" s="233" t="str">
        <f t="shared" si="8"/>
        <v>Residential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31.1</v>
      </c>
      <c r="J14" s="250">
        <f t="shared" si="0"/>
        <v>0</v>
      </c>
      <c r="K14" s="250">
        <f t="shared" si="1"/>
        <v>0</v>
      </c>
      <c r="L14" s="463">
        <v>1</v>
      </c>
      <c r="M14" s="463">
        <v>1</v>
      </c>
      <c r="N14" s="463">
        <v>1</v>
      </c>
      <c r="O14" s="244">
        <f t="shared" si="9"/>
        <v>3.1536000000000002E-2</v>
      </c>
      <c r="P14" s="459">
        <v>0.1</v>
      </c>
      <c r="Q14" s="245">
        <v>30</v>
      </c>
      <c r="R14" s="227"/>
      <c r="S14" s="227"/>
      <c r="T14" s="268"/>
      <c r="U14" s="227" t="s">
        <v>73</v>
      </c>
      <c r="V14" s="254" t="s">
        <v>170</v>
      </c>
      <c r="W14" s="246">
        <v>2015</v>
      </c>
      <c r="X14" s="433">
        <f>_xlfn.IFNA(INDEX('Data manipulation'!$C$110:$O$127,MATCH($U14,'Data manipulation'!$B$110:$B$127,0),MATCH($W14,'Data manipulation'!$C$109:$N$109,0))/1000,0)*SUMIFS('Regional split'!$F$4:$F$6,'Regional split'!$B$4:$B$6,X$4)*SUMIFS('Data manipulation'!$V$46:$V$49,'Data manipulation'!$X$46:$X$49,$E14,'Data manipulation'!$Y$46:$Y$49,$D14)</f>
        <v>9.6028688462091186E-2</v>
      </c>
      <c r="Y14" s="433">
        <f>_xlfn.IFNA(INDEX('Data manipulation'!$C$110:$O$127,MATCH($U14,'Data manipulation'!$B$110:$B$127,0),MATCH($W14,'Data manipulation'!$C$109:$N$109,0))/1000,0)*SUMIFS('Regional split'!$F$4:$F$6,'Regional split'!$B$4:$B$6,Y$4)*SUMIFS('Data manipulation'!$V$46:$V$49,'Data manipulation'!$X$46:$X$49,$E14,'Data manipulation'!$Y$46:$Y$49,$D14)</f>
        <v>0</v>
      </c>
      <c r="Z14" s="433">
        <f>_xlfn.IFNA(INDEX('Data manipulation'!$C$110:$O$127,MATCH($U14,'Data manipulation'!$B$110:$B$127,0),MATCH($W14,'Data manipulation'!$C$109:$N$109,0))/1000,0)*SUMIFS('Regional split'!$F$4:$F$6,'Regional split'!$B$4:$B$6,Z$4)*SUMIFS('Data manipulation'!$V$46:$V$49,'Data manipulation'!$X$46:$X$49,$E14,'Data manipulation'!$Y$46:$Y$49,$D14)</f>
        <v>0</v>
      </c>
      <c r="AA14" s="444">
        <f t="shared" si="10"/>
        <v>9.6028688462091186E-2</v>
      </c>
      <c r="AB14" s="251">
        <f t="shared" si="11"/>
        <v>0</v>
      </c>
      <c r="AC14" s="445">
        <f t="shared" si="12"/>
        <v>0</v>
      </c>
    </row>
    <row r="15" spans="2:30" ht="14.5">
      <c r="B15" s="233" t="str">
        <f t="shared" ref="B15:G15" si="13">B11</f>
        <v>CCTUMELCAE1</v>
      </c>
      <c r="C15" s="233" t="str">
        <f t="shared" si="13"/>
        <v>Residential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417.1</v>
      </c>
      <c r="J15" s="250">
        <f t="shared" ref="J15:J18" si="14">ROUNDUP(AB15/($O15*$P15)*$I$2,1)</f>
        <v>0</v>
      </c>
      <c r="K15" s="250">
        <f t="shared" ref="K15:K18" si="15">ROUNDUP(AC15/($O15*$P15)*$I$2,1)</f>
        <v>0</v>
      </c>
      <c r="L15" s="463">
        <v>1</v>
      </c>
      <c r="M15" s="463">
        <v>1</v>
      </c>
      <c r="N15" s="463">
        <v>1</v>
      </c>
      <c r="O15" s="244">
        <f t="shared" si="9"/>
        <v>3.1536000000000002E-2</v>
      </c>
      <c r="P15" s="459">
        <v>0.1</v>
      </c>
      <c r="Q15" s="245">
        <v>30</v>
      </c>
      <c r="R15" s="227"/>
      <c r="S15" s="227"/>
      <c r="T15" s="268"/>
      <c r="U15" s="227" t="s">
        <v>73</v>
      </c>
      <c r="V15" s="254" t="s">
        <v>170</v>
      </c>
      <c r="W15" s="246">
        <v>2018</v>
      </c>
      <c r="X15" s="433">
        <f>_xlfn.IFNA(INDEX('Data manipulation'!$C$110:$O$127,MATCH($U15,'Data manipulation'!$B$110:$B$127,0),MATCH($W15,'Data manipulation'!$C$109:$N$109,0))/1000,0)*SUMIFS('Regional split'!$F$4:$F$6,'Regional split'!$B$4:$B$6,X$4)*SUMIFS('Data manipulation'!$V$46:$V$49,'Data manipulation'!$X$46:$X$49,$E15,'Data manipulation'!$Y$46:$Y$49,$D15)</f>
        <v>1.2893716993783433</v>
      </c>
      <c r="Y15" s="433">
        <f>_xlfn.IFNA(INDEX('Data manipulation'!$C$110:$O$127,MATCH($U15,'Data manipulation'!$B$110:$B$127,0),MATCH($W15,'Data manipulation'!$C$109:$N$109,0))/1000,0)*SUMIFS('Regional split'!$F$4:$F$6,'Regional split'!$B$4:$B$6,Y$4)*SUMIFS('Data manipulation'!$V$46:$V$49,'Data manipulation'!$X$46:$X$49,$E15,'Data manipulation'!$Y$46:$Y$49,$D15)</f>
        <v>0</v>
      </c>
      <c r="Z15" s="433">
        <f>_xlfn.IFNA(INDEX('Data manipulation'!$C$110:$O$127,MATCH($U15,'Data manipulation'!$B$110:$B$127,0),MATCH($W15,'Data manipulation'!$C$109:$N$109,0))/1000,0)*SUMIFS('Regional split'!$F$4:$F$6,'Regional split'!$B$4:$B$6,Z$4)*SUMIFS('Data manipulation'!$V$46:$V$49,'Data manipulation'!$X$46:$X$49,$E15,'Data manipulation'!$Y$46:$Y$49,$D15)</f>
        <v>0</v>
      </c>
      <c r="AA15" s="444">
        <f t="shared" si="10"/>
        <v>1.2893716993783433</v>
      </c>
      <c r="AB15" s="251">
        <f t="shared" si="11"/>
        <v>0</v>
      </c>
      <c r="AC15" s="445">
        <f t="shared" si="12"/>
        <v>0</v>
      </c>
    </row>
    <row r="16" spans="2:30" ht="14.5">
      <c r="B16" s="233" t="str">
        <f t="shared" ref="B16:G16" si="16">B12</f>
        <v>CCTRMELCAE1</v>
      </c>
      <c r="C16" s="233" t="str">
        <f t="shared" si="16"/>
        <v>Residential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676</v>
      </c>
      <c r="J16" s="250">
        <f t="shared" si="14"/>
        <v>0</v>
      </c>
      <c r="K16" s="250">
        <f t="shared" si="15"/>
        <v>0</v>
      </c>
      <c r="L16" s="463">
        <v>1</v>
      </c>
      <c r="M16" s="463">
        <v>1</v>
      </c>
      <c r="N16" s="463">
        <v>1</v>
      </c>
      <c r="O16" s="244">
        <f t="shared" si="9"/>
        <v>3.1536000000000002E-2</v>
      </c>
      <c r="P16" s="459">
        <v>0.1</v>
      </c>
      <c r="Q16" s="245">
        <v>30</v>
      </c>
      <c r="R16" s="227"/>
      <c r="S16" s="227"/>
      <c r="T16" s="268"/>
      <c r="U16" s="227" t="s">
        <v>73</v>
      </c>
      <c r="V16" s="254" t="s">
        <v>170</v>
      </c>
      <c r="W16" s="246">
        <v>2018</v>
      </c>
      <c r="X16" s="433">
        <f>_xlfn.IFNA(INDEX('Data manipulation'!$C$110:$O$127,MATCH($U16,'Data manipulation'!$B$110:$B$127,0),MATCH($W16,'Data manipulation'!$C$109:$N$109,0))/1000,0)*SUMIFS('Regional split'!$F$4:$F$6,'Regional split'!$B$4:$B$6,X$4)*SUMIFS('Data manipulation'!$V$46:$V$49,'Data manipulation'!$X$46:$X$49,$E16,'Data manipulation'!$Y$46:$Y$49,$D16)</f>
        <v>2.0898366577284668</v>
      </c>
      <c r="Y16" s="433">
        <f>_xlfn.IFNA(INDEX('Data manipulation'!$C$110:$O$127,MATCH($U16,'Data manipulation'!$B$110:$B$127,0),MATCH($W16,'Data manipulation'!$C$109:$N$109,0))/1000,0)*SUMIFS('Regional split'!$F$4:$F$6,'Regional split'!$B$4:$B$6,Y$4)*SUMIFS('Data manipulation'!$V$46:$V$49,'Data manipulation'!$X$46:$X$49,$E16,'Data manipulation'!$Y$46:$Y$49,$D16)</f>
        <v>0</v>
      </c>
      <c r="Z16" s="433">
        <f>_xlfn.IFNA(INDEX('Data manipulation'!$C$110:$O$127,MATCH($U16,'Data manipulation'!$B$110:$B$127,0),MATCH($W16,'Data manipulation'!$C$109:$N$109,0))/1000,0)*SUMIFS('Regional split'!$F$4:$F$6,'Regional split'!$B$4:$B$6,Z$4)*SUMIFS('Data manipulation'!$V$46:$V$49,'Data manipulation'!$X$46:$X$49,$E16,'Data manipulation'!$Y$46:$Y$49,$D16)</f>
        <v>0</v>
      </c>
      <c r="AA16" s="444">
        <f t="shared" si="10"/>
        <v>2.0898366577284668</v>
      </c>
      <c r="AB16" s="251">
        <f t="shared" si="11"/>
        <v>0</v>
      </c>
      <c r="AC16" s="445">
        <f t="shared" si="12"/>
        <v>0</v>
      </c>
    </row>
    <row r="17" spans="2:29" ht="14.5">
      <c r="B17" s="233" t="str">
        <f t="shared" ref="B17:G17" si="18">B13</f>
        <v>CCTUDELCAE1</v>
      </c>
      <c r="C17" s="233" t="str">
        <f t="shared" si="18"/>
        <v>Residential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429.5</v>
      </c>
      <c r="J17" s="250">
        <f t="shared" si="14"/>
        <v>0</v>
      </c>
      <c r="K17" s="250">
        <f t="shared" si="15"/>
        <v>0</v>
      </c>
      <c r="L17" s="463">
        <v>1</v>
      </c>
      <c r="M17" s="463">
        <v>1</v>
      </c>
      <c r="N17" s="463">
        <v>1</v>
      </c>
      <c r="O17" s="244">
        <f t="shared" si="9"/>
        <v>3.1536000000000002E-2</v>
      </c>
      <c r="P17" s="459">
        <v>0.1</v>
      </c>
      <c r="Q17" s="245">
        <v>30</v>
      </c>
      <c r="R17" s="227"/>
      <c r="S17" s="227"/>
      <c r="T17" s="268"/>
      <c r="U17" s="227" t="s">
        <v>73</v>
      </c>
      <c r="V17" s="254" t="s">
        <v>170</v>
      </c>
      <c r="W17" s="246">
        <v>2018</v>
      </c>
      <c r="X17" s="433">
        <f>_xlfn.IFNA(INDEX('Data manipulation'!$C$110:$O$127,MATCH($U17,'Data manipulation'!$B$110:$B$127,0),MATCH($W17,'Data manipulation'!$C$109:$N$109,0))/1000,0)*SUMIFS('Regional split'!$F$4:$F$6,'Regional split'!$B$4:$B$6,X$4)*SUMIFS('Data manipulation'!$V$46:$V$49,'Data manipulation'!$X$46:$X$49,$E17,'Data manipulation'!$Y$46:$Y$49,$D17)</f>
        <v>1.3277173261256545</v>
      </c>
      <c r="Y17" s="433">
        <f>_xlfn.IFNA(INDEX('Data manipulation'!$C$110:$O$127,MATCH($U17,'Data manipulation'!$B$110:$B$127,0),MATCH($W17,'Data manipulation'!$C$109:$N$109,0))/1000,0)*SUMIFS('Regional split'!$F$4:$F$6,'Regional split'!$B$4:$B$6,Y$4)*SUMIFS('Data manipulation'!$V$46:$V$49,'Data manipulation'!$X$46:$X$49,$E17,'Data manipulation'!$Y$46:$Y$49,$D17)</f>
        <v>0</v>
      </c>
      <c r="Z17" s="433">
        <f>_xlfn.IFNA(INDEX('Data manipulation'!$C$110:$O$127,MATCH($U17,'Data manipulation'!$B$110:$B$127,0),MATCH($W17,'Data manipulation'!$C$109:$N$109,0))/1000,0)*SUMIFS('Regional split'!$F$4:$F$6,'Regional split'!$B$4:$B$6,Z$4)*SUMIFS('Data manipulation'!$V$46:$V$49,'Data manipulation'!$X$46:$X$49,$E17,'Data manipulation'!$Y$46:$Y$49,$D17)</f>
        <v>0</v>
      </c>
      <c r="AA17" s="444">
        <f t="shared" ref="AA17:AA18" si="19">X17*L17</f>
        <v>1.3277173261256545</v>
      </c>
      <c r="AB17" s="251">
        <f t="shared" ref="AB17:AB18" si="20">Y17*M17</f>
        <v>0</v>
      </c>
      <c r="AC17" s="445">
        <f t="shared" ref="AC17:AC18" si="21">Z17*N17</f>
        <v>0</v>
      </c>
    </row>
    <row r="18" spans="2:29" ht="14.5">
      <c r="B18" s="233" t="str">
        <f t="shared" ref="B18:G18" si="22">B14</f>
        <v>CCTRDELCAE1</v>
      </c>
      <c r="C18" s="233" t="str">
        <f t="shared" si="22"/>
        <v>Residential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29.5</v>
      </c>
      <c r="J18" s="250">
        <f t="shared" si="14"/>
        <v>0</v>
      </c>
      <c r="K18" s="250">
        <f t="shared" si="15"/>
        <v>0</v>
      </c>
      <c r="L18" s="463">
        <v>1</v>
      </c>
      <c r="M18" s="463">
        <v>1</v>
      </c>
      <c r="N18" s="463">
        <v>1</v>
      </c>
      <c r="O18" s="244">
        <f t="shared" si="9"/>
        <v>3.1536000000000002E-2</v>
      </c>
      <c r="P18" s="459">
        <v>0.1</v>
      </c>
      <c r="Q18" s="245">
        <v>30</v>
      </c>
      <c r="R18" s="227"/>
      <c r="S18" s="227"/>
      <c r="T18" s="268"/>
      <c r="U18" s="227" t="s">
        <v>73</v>
      </c>
      <c r="V18" s="254" t="s">
        <v>170</v>
      </c>
      <c r="W18" s="246">
        <v>2018</v>
      </c>
      <c r="X18" s="433">
        <f>_xlfn.IFNA(INDEX('Data manipulation'!$C$110:$O$127,MATCH($U18,'Data manipulation'!$B$110:$B$127,0),MATCH($W18,'Data manipulation'!$C$109:$N$109,0))/1000,0)*SUMIFS('Regional split'!$F$4:$F$6,'Regional split'!$B$4:$B$6,X$4)*SUMIFS('Data manipulation'!$V$46:$V$49,'Data manipulation'!$X$46:$X$49,$E18,'Data manipulation'!$Y$46:$Y$49,$D18)</f>
        <v>9.107086352486439E-2</v>
      </c>
      <c r="Y18" s="433">
        <f>_xlfn.IFNA(INDEX('Data manipulation'!$C$110:$O$127,MATCH($U18,'Data manipulation'!$B$110:$B$127,0),MATCH($W18,'Data manipulation'!$C$109:$N$109,0))/1000,0)*SUMIFS('Regional split'!$F$4:$F$6,'Regional split'!$B$4:$B$6,Y$4)*SUMIFS('Data manipulation'!$V$46:$V$49,'Data manipulation'!$X$46:$X$49,$E18,'Data manipulation'!$Y$46:$Y$49,$D18)</f>
        <v>0</v>
      </c>
      <c r="Z18" s="433">
        <f>_xlfn.IFNA(INDEX('Data manipulation'!$C$110:$O$127,MATCH($U18,'Data manipulation'!$B$110:$B$127,0),MATCH($W18,'Data manipulation'!$C$109:$N$109,0))/1000,0)*SUMIFS('Regional split'!$F$4:$F$6,'Regional split'!$B$4:$B$6,Z$4)*SUMIFS('Data manipulation'!$V$46:$V$49,'Data manipulation'!$X$46:$X$49,$E18,'Data manipulation'!$Y$46:$Y$49,$D18)</f>
        <v>0</v>
      </c>
      <c r="AA18" s="444">
        <f t="shared" si="19"/>
        <v>9.107086352486439E-2</v>
      </c>
      <c r="AB18" s="251">
        <f t="shared" si="20"/>
        <v>0</v>
      </c>
      <c r="AC18" s="445">
        <f t="shared" si="21"/>
        <v>0</v>
      </c>
    </row>
    <row r="19" spans="2:29" ht="14.5">
      <c r="B19" s="233" t="str">
        <f t="shared" ref="B19:G19" si="23">B11</f>
        <v>CCTUMELCAE1</v>
      </c>
      <c r="C19" s="233" t="str">
        <f t="shared" si="23"/>
        <v>Residential Cooling Technology Urban Multi - Electricity Appliances - Existing 1</v>
      </c>
      <c r="D19" s="227" t="str">
        <f t="shared" si="23"/>
        <v>Urban</v>
      </c>
      <c r="E19" s="227" t="str">
        <f t="shared" si="23"/>
        <v>Detached</v>
      </c>
      <c r="F19" s="233" t="str">
        <f t="shared" si="23"/>
        <v>COMELCC</v>
      </c>
      <c r="G19" s="233" t="str">
        <f t="shared" si="23"/>
        <v>COMCUDB</v>
      </c>
      <c r="H19" s="569">
        <f>H15+Q19</f>
        <v>2048</v>
      </c>
      <c r="I19" s="250">
        <v>0</v>
      </c>
      <c r="J19" s="250">
        <v>0</v>
      </c>
      <c r="K19" s="250">
        <v>0</v>
      </c>
      <c r="L19" s="463">
        <v>1</v>
      </c>
      <c r="M19" s="463">
        <v>1</v>
      </c>
      <c r="N19" s="463">
        <v>1</v>
      </c>
      <c r="O19" s="244">
        <f t="shared" si="9"/>
        <v>3.1536000000000002E-2</v>
      </c>
      <c r="P19" s="459">
        <v>0.1</v>
      </c>
      <c r="Q19" s="245">
        <v>30</v>
      </c>
      <c r="R19" s="227"/>
      <c r="S19" s="227"/>
      <c r="T19" s="268"/>
      <c r="U19" s="227" t="s">
        <v>73</v>
      </c>
      <c r="V19" s="254" t="s">
        <v>170</v>
      </c>
      <c r="W19" s="246">
        <v>2018</v>
      </c>
      <c r="X19" s="433">
        <f>_xlfn.IFNA(INDEX('Data manipulation'!$C$110:$O$127,MATCH($U19,'Data manipulation'!$B$110:$B$127,0),MATCH($W19,'Data manipulation'!$C$109:$N$109,0))/1000,0)*SUMIFS('Regional split'!$F$4:$F$6,'Regional split'!$B$4:$B$6,X$4)*SUMIFS('Data manipulation'!$V$46:$V$49,'Data manipulation'!$X$46:$X$49,$E19,'Data manipulation'!$Y$46:$Y$49,$D19)</f>
        <v>1.2893716993783433</v>
      </c>
      <c r="Y19" s="433">
        <f>_xlfn.IFNA(INDEX('Data manipulation'!$C$110:$O$127,MATCH($U19,'Data manipulation'!$B$110:$B$127,0),MATCH($W19,'Data manipulation'!$C$109:$N$109,0))/1000,0)*SUMIFS('Regional split'!$F$4:$F$6,'Regional split'!$B$4:$B$6,Y$4)*SUMIFS('Data manipulation'!$V$46:$V$49,'Data manipulation'!$X$46:$X$49,$E19,'Data manipulation'!$Y$46:$Y$49,$D19)</f>
        <v>0</v>
      </c>
      <c r="Z19" s="433">
        <f>_xlfn.IFNA(INDEX('Data manipulation'!$C$110:$O$127,MATCH($U19,'Data manipulation'!$B$110:$B$127,0),MATCH($W19,'Data manipulation'!$C$109:$N$109,0))/1000,0)*SUMIFS('Regional split'!$F$4:$F$6,'Regional split'!$B$4:$B$6,Z$4)*SUMIFS('Data manipulation'!$V$46:$V$49,'Data manipulation'!$X$46:$X$49,$E19,'Data manipulation'!$Y$46:$Y$49,$D19)</f>
        <v>0</v>
      </c>
      <c r="AA19" s="444">
        <f t="shared" si="10"/>
        <v>1.2893716993783433</v>
      </c>
      <c r="AB19" s="251">
        <f t="shared" si="11"/>
        <v>0</v>
      </c>
      <c r="AC19" s="445">
        <f t="shared" si="12"/>
        <v>0</v>
      </c>
    </row>
    <row r="20" spans="2:29" ht="14.5">
      <c r="B20" s="233" t="str">
        <f t="shared" ref="B20:G20" si="24">B12</f>
        <v>CCTRMELCAE1</v>
      </c>
      <c r="C20" s="233" t="str">
        <f t="shared" si="24"/>
        <v>Residential Cooling Technology Rural Multi - Electricity Appliances - Existing 1</v>
      </c>
      <c r="D20" s="227" t="str">
        <f t="shared" si="24"/>
        <v>Rural</v>
      </c>
      <c r="E20" s="227" t="str">
        <f t="shared" si="24"/>
        <v>Detached</v>
      </c>
      <c r="F20" s="233" t="str">
        <f t="shared" si="24"/>
        <v>COMELCC</v>
      </c>
      <c r="G20" s="233" t="str">
        <f t="shared" si="24"/>
        <v>COMCRDB</v>
      </c>
      <c r="H20" s="569">
        <f>H16+Q20</f>
        <v>2048</v>
      </c>
      <c r="I20" s="250">
        <v>0</v>
      </c>
      <c r="J20" s="250">
        <v>0</v>
      </c>
      <c r="K20" s="250">
        <v>0</v>
      </c>
      <c r="L20" s="463">
        <v>1</v>
      </c>
      <c r="M20" s="463">
        <v>1</v>
      </c>
      <c r="N20" s="463">
        <v>1</v>
      </c>
      <c r="O20" s="244">
        <f t="shared" si="9"/>
        <v>3.1536000000000002E-2</v>
      </c>
      <c r="P20" s="459">
        <v>0.1</v>
      </c>
      <c r="Q20" s="245">
        <v>30</v>
      </c>
      <c r="R20" s="227"/>
      <c r="S20" s="227"/>
      <c r="T20" s="268"/>
      <c r="U20" s="227" t="s">
        <v>73</v>
      </c>
      <c r="V20" s="254" t="s">
        <v>170</v>
      </c>
      <c r="W20" s="246">
        <v>2018</v>
      </c>
      <c r="X20" s="433">
        <f>_xlfn.IFNA(INDEX('Data manipulation'!$C$110:$O$127,MATCH($U20,'Data manipulation'!$B$110:$B$127,0),MATCH($W20,'Data manipulation'!$C$109:$N$109,0))/1000,0)*SUMIFS('Regional split'!$F$4:$F$6,'Regional split'!$B$4:$B$6,X$4)*SUMIFS('Data manipulation'!$V$46:$V$49,'Data manipulation'!$X$46:$X$49,$E20,'Data manipulation'!$Y$46:$Y$49,$D20)</f>
        <v>2.0898366577284668</v>
      </c>
      <c r="Y20" s="433">
        <f>_xlfn.IFNA(INDEX('Data manipulation'!$C$110:$O$127,MATCH($U20,'Data manipulation'!$B$110:$B$127,0),MATCH($W20,'Data manipulation'!$C$109:$N$109,0))/1000,0)*SUMIFS('Regional split'!$F$4:$F$6,'Regional split'!$B$4:$B$6,Y$4)*SUMIFS('Data manipulation'!$V$46:$V$49,'Data manipulation'!$X$46:$X$49,$E20,'Data manipulation'!$Y$46:$Y$49,$D20)</f>
        <v>0</v>
      </c>
      <c r="Z20" s="433">
        <f>_xlfn.IFNA(INDEX('Data manipulation'!$C$110:$O$127,MATCH($U20,'Data manipulation'!$B$110:$B$127,0),MATCH($W20,'Data manipulation'!$C$109:$N$109,0))/1000,0)*SUMIFS('Regional split'!$F$4:$F$6,'Regional split'!$B$4:$B$6,Z$4)*SUMIFS('Data manipulation'!$V$46:$V$49,'Data manipulation'!$X$46:$X$49,$E20,'Data manipulation'!$Y$46:$Y$49,$D20)</f>
        <v>0</v>
      </c>
      <c r="AA20" s="444">
        <f t="shared" si="10"/>
        <v>2.0898366577284668</v>
      </c>
      <c r="AB20" s="251">
        <f t="shared" si="11"/>
        <v>0</v>
      </c>
      <c r="AC20" s="445">
        <f t="shared" si="12"/>
        <v>0</v>
      </c>
    </row>
    <row r="21" spans="2:29" ht="14.5">
      <c r="B21" s="233" t="str">
        <f t="shared" ref="B21:G21" si="25">B13</f>
        <v>CCTUDELCAE1</v>
      </c>
      <c r="C21" s="233" t="str">
        <f t="shared" si="25"/>
        <v>Residential Cooling Technology Urban Detached - Electricity Appliances - Existing 1</v>
      </c>
      <c r="D21" s="227" t="str">
        <f t="shared" si="25"/>
        <v>Urban</v>
      </c>
      <c r="E21" s="227" t="str">
        <f t="shared" si="25"/>
        <v>Multi storey</v>
      </c>
      <c r="F21" s="233" t="str">
        <f t="shared" si="25"/>
        <v>COMELCC</v>
      </c>
      <c r="G21" s="233" t="str">
        <f t="shared" si="25"/>
        <v>COMCUMB</v>
      </c>
      <c r="H21" s="569">
        <f>H17+Q21</f>
        <v>2048</v>
      </c>
      <c r="I21" s="250">
        <v>0</v>
      </c>
      <c r="J21" s="250">
        <v>0</v>
      </c>
      <c r="K21" s="250">
        <v>0</v>
      </c>
      <c r="L21" s="463">
        <v>1</v>
      </c>
      <c r="M21" s="463">
        <v>1</v>
      </c>
      <c r="N21" s="463">
        <v>1</v>
      </c>
      <c r="O21" s="244">
        <f t="shared" si="9"/>
        <v>3.1536000000000002E-2</v>
      </c>
      <c r="P21" s="459">
        <v>0.1</v>
      </c>
      <c r="Q21" s="245">
        <v>30</v>
      </c>
      <c r="R21" s="227"/>
      <c r="S21" s="227"/>
      <c r="T21" s="268"/>
      <c r="U21" s="227" t="s">
        <v>73</v>
      </c>
      <c r="V21" s="254" t="s">
        <v>170</v>
      </c>
      <c r="W21" s="246">
        <v>2018</v>
      </c>
      <c r="X21" s="433">
        <f>_xlfn.IFNA(INDEX('Data manipulation'!$C$110:$O$127,MATCH($U21,'Data manipulation'!$B$110:$B$127,0),MATCH($W21,'Data manipulation'!$C$109:$N$109,0))/1000,0)*SUMIFS('Regional split'!$F$4:$F$6,'Regional split'!$B$4:$B$6,X$4)*SUMIFS('Data manipulation'!$V$46:$V$49,'Data manipulation'!$X$46:$X$49,$E21,'Data manipulation'!$Y$46:$Y$49,$D21)</f>
        <v>1.3277173261256545</v>
      </c>
      <c r="Y21" s="433">
        <f>_xlfn.IFNA(INDEX('Data manipulation'!$C$110:$O$127,MATCH($U21,'Data manipulation'!$B$110:$B$127,0),MATCH($W21,'Data manipulation'!$C$109:$N$109,0))/1000,0)*SUMIFS('Regional split'!$F$4:$F$6,'Regional split'!$B$4:$B$6,Y$4)*SUMIFS('Data manipulation'!$V$46:$V$49,'Data manipulation'!$X$46:$X$49,$E21,'Data manipulation'!$Y$46:$Y$49,$D21)</f>
        <v>0</v>
      </c>
      <c r="Z21" s="433">
        <f>_xlfn.IFNA(INDEX('Data manipulation'!$C$110:$O$127,MATCH($U21,'Data manipulation'!$B$110:$B$127,0),MATCH($W21,'Data manipulation'!$C$109:$N$109,0))/1000,0)*SUMIFS('Regional split'!$F$4:$F$6,'Regional split'!$B$4:$B$6,Z$4)*SUMIFS('Data manipulation'!$V$46:$V$49,'Data manipulation'!$X$46:$X$49,$E21,'Data manipulation'!$Y$46:$Y$49,$D21)</f>
        <v>0</v>
      </c>
      <c r="AA21" s="444">
        <f t="shared" ref="AA21:AA22" si="26">X21*L21</f>
        <v>1.3277173261256545</v>
      </c>
      <c r="AB21" s="251">
        <f t="shared" ref="AB21:AB22" si="27">Y21*M21</f>
        <v>0</v>
      </c>
      <c r="AC21" s="445">
        <f t="shared" ref="AC21:AC22" si="28">Z21*N21</f>
        <v>0</v>
      </c>
    </row>
    <row r="22" spans="2:29" ht="14.5">
      <c r="B22" s="233" t="str">
        <f t="shared" ref="B22:G22" si="29">B14</f>
        <v>CCTRDELCAE1</v>
      </c>
      <c r="C22" s="233" t="str">
        <f t="shared" si="29"/>
        <v>Residential Cooling Technology Rural Detached - Electricity Appliances - Existing 1</v>
      </c>
      <c r="D22" s="227" t="str">
        <f t="shared" si="29"/>
        <v>Rural</v>
      </c>
      <c r="E22" s="227" t="str">
        <f t="shared" si="29"/>
        <v>Multi storey</v>
      </c>
      <c r="F22" s="233" t="str">
        <f t="shared" si="29"/>
        <v>COMELCC</v>
      </c>
      <c r="G22" s="233" t="str">
        <f t="shared" si="29"/>
        <v>COMCRMB</v>
      </c>
      <c r="H22" s="569">
        <f>H18+Q22</f>
        <v>2048</v>
      </c>
      <c r="I22" s="250">
        <v>0</v>
      </c>
      <c r="J22" s="250">
        <v>0</v>
      </c>
      <c r="K22" s="250">
        <v>0</v>
      </c>
      <c r="L22" s="463">
        <v>1</v>
      </c>
      <c r="M22" s="463">
        <v>1</v>
      </c>
      <c r="N22" s="463">
        <v>1</v>
      </c>
      <c r="O22" s="244">
        <f t="shared" si="9"/>
        <v>3.1536000000000002E-2</v>
      </c>
      <c r="P22" s="459">
        <v>0.1</v>
      </c>
      <c r="Q22" s="245">
        <v>30</v>
      </c>
      <c r="R22" s="227"/>
      <c r="S22" s="227"/>
      <c r="T22" s="268"/>
      <c r="U22" s="227" t="s">
        <v>73</v>
      </c>
      <c r="V22" s="254" t="s">
        <v>170</v>
      </c>
      <c r="W22" s="246">
        <v>2018</v>
      </c>
      <c r="X22" s="433">
        <f>_xlfn.IFNA(INDEX('Data manipulation'!$C$110:$O$127,MATCH($U22,'Data manipulation'!$B$110:$B$127,0),MATCH($W22,'Data manipulation'!$C$109:$N$109,0))/1000,0)*SUMIFS('Regional split'!$F$4:$F$6,'Regional split'!$B$4:$B$6,X$4)*SUMIFS('Data manipulation'!$V$46:$V$49,'Data manipulation'!$X$46:$X$49,$E22,'Data manipulation'!$Y$46:$Y$49,$D22)</f>
        <v>9.107086352486439E-2</v>
      </c>
      <c r="Y22" s="433">
        <f>_xlfn.IFNA(INDEX('Data manipulation'!$C$110:$O$127,MATCH($U22,'Data manipulation'!$B$110:$B$127,0),MATCH($W22,'Data manipulation'!$C$109:$N$109,0))/1000,0)*SUMIFS('Regional split'!$F$4:$F$6,'Regional split'!$B$4:$B$6,Y$4)*SUMIFS('Data manipulation'!$V$46:$V$49,'Data manipulation'!$X$46:$X$49,$E22,'Data manipulation'!$Y$46:$Y$49,$D22)</f>
        <v>0</v>
      </c>
      <c r="Z22" s="433">
        <f>_xlfn.IFNA(INDEX('Data manipulation'!$C$110:$O$127,MATCH($U22,'Data manipulation'!$B$110:$B$127,0),MATCH($W22,'Data manipulation'!$C$109:$N$109,0))/1000,0)*SUMIFS('Regional split'!$F$4:$F$6,'Regional split'!$B$4:$B$6,Z$4)*SUMIFS('Data manipulation'!$V$46:$V$49,'Data manipulation'!$X$46:$X$49,$E22,'Data manipulation'!$Y$46:$Y$49,$D22)</f>
        <v>0</v>
      </c>
      <c r="AA22" s="444">
        <f t="shared" si="26"/>
        <v>9.107086352486439E-2</v>
      </c>
      <c r="AB22" s="251">
        <f t="shared" si="27"/>
        <v>0</v>
      </c>
      <c r="AC22" s="445">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3"/>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3"/>
      <c r="E25" s="233"/>
      <c r="F25" s="230"/>
      <c r="G25" s="230"/>
      <c r="H25" s="230"/>
      <c r="I25" s="263"/>
      <c r="J25" s="263"/>
      <c r="K25" s="263"/>
      <c r="L25" s="264"/>
      <c r="M25" s="264"/>
      <c r="N25" s="264"/>
      <c r="O25" s="265"/>
      <c r="P25" s="264" t="s">
        <v>730</v>
      </c>
      <c r="Q25" s="264"/>
      <c r="R25" s="227"/>
      <c r="S25" s="227"/>
      <c r="T25" s="227"/>
      <c r="U25" s="227"/>
      <c r="V25" s="227"/>
      <c r="W25" s="227"/>
      <c r="X25" s="227"/>
      <c r="Y25" s="227"/>
      <c r="Z25" s="227"/>
      <c r="AA25" s="227"/>
      <c r="AB25" s="227"/>
      <c r="AC25" s="233"/>
    </row>
    <row r="26" spans="2:29">
      <c r="D26" s="513"/>
      <c r="E26" s="233"/>
    </row>
    <row r="27" spans="2:29">
      <c r="D27" s="513"/>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5"/>
      <c r="E115" s="535"/>
    </row>
    <row r="116" spans="4:5">
      <c r="D116" s="535"/>
      <c r="E116" s="535"/>
    </row>
    <row r="117" spans="4:5">
      <c r="D117" s="535"/>
      <c r="E117" s="535"/>
    </row>
    <row r="118" spans="4:5">
      <c r="D118" s="535"/>
      <c r="E118" s="535"/>
    </row>
    <row r="119" spans="4:5">
      <c r="D119" s="535"/>
      <c r="E119" s="535"/>
    </row>
    <row r="120" spans="4:5">
      <c r="D120" s="535"/>
      <c r="E120" s="535"/>
    </row>
    <row r="121" spans="4:5">
      <c r="D121" s="535"/>
      <c r="E121" s="535"/>
    </row>
    <row r="122" spans="4:5">
      <c r="D122" s="535"/>
      <c r="E122" s="535"/>
    </row>
    <row r="123" spans="4:5">
      <c r="D123" s="535"/>
      <c r="E123" s="535"/>
    </row>
    <row r="124" spans="4:5">
      <c r="D124" s="535"/>
      <c r="E124" s="535"/>
    </row>
    <row r="125" spans="4:5">
      <c r="D125" s="535"/>
      <c r="E125" s="535"/>
    </row>
    <row r="126" spans="4:5">
      <c r="D126" s="535"/>
      <c r="E126" s="535"/>
    </row>
    <row r="127" spans="4:5">
      <c r="D127" s="535"/>
      <c r="E127" s="535"/>
    </row>
    <row r="128" spans="4:5">
      <c r="D128" s="535"/>
      <c r="E128" s="535"/>
    </row>
    <row r="129" spans="4:5">
      <c r="D129" s="535"/>
      <c r="E129" s="535"/>
    </row>
    <row r="130" spans="4:5">
      <c r="D130" s="535"/>
      <c r="E130" s="535"/>
    </row>
    <row r="131" spans="4:5">
      <c r="D131" s="535"/>
      <c r="E131" s="535"/>
    </row>
    <row r="132" spans="4:5">
      <c r="D132" s="535"/>
      <c r="E132" s="535"/>
    </row>
    <row r="133" spans="4:5">
      <c r="D133" s="535"/>
      <c r="E133" s="535"/>
    </row>
    <row r="134" spans="4:5">
      <c r="D134" s="535"/>
      <c r="E134" s="535"/>
    </row>
    <row r="135" spans="4:5">
      <c r="D135" s="535"/>
      <c r="E135" s="535"/>
    </row>
    <row r="136" spans="4:5">
      <c r="D136" s="535"/>
      <c r="E136" s="535"/>
    </row>
    <row r="137" spans="4:5">
      <c r="D137" s="535"/>
      <c r="E137" s="535"/>
    </row>
    <row r="138" spans="4:5">
      <c r="D138" s="535"/>
      <c r="E138" s="535"/>
    </row>
    <row r="139" spans="4:5">
      <c r="D139" s="535"/>
      <c r="E139" s="535"/>
    </row>
    <row r="140" spans="4:5">
      <c r="D140" s="535"/>
      <c r="E140" s="535"/>
    </row>
    <row r="141" spans="4:5">
      <c r="D141" s="535"/>
      <c r="E141" s="535"/>
    </row>
    <row r="142" spans="4:5">
      <c r="D142" s="535"/>
      <c r="E142" s="535"/>
    </row>
    <row r="143" spans="4:5">
      <c r="D143" s="535"/>
      <c r="E143" s="535"/>
    </row>
    <row r="144" spans="4:5">
      <c r="D144" s="535"/>
      <c r="E144" s="535"/>
    </row>
    <row r="145" spans="4:5">
      <c r="D145" s="535"/>
      <c r="E145" s="535"/>
    </row>
    <row r="146" spans="4:5">
      <c r="D146" s="535"/>
      <c r="E146" s="535"/>
    </row>
    <row r="147" spans="4:5">
      <c r="D147" s="535"/>
      <c r="E147" s="535"/>
    </row>
    <row r="148" spans="4:5">
      <c r="D148" s="535"/>
      <c r="E148" s="535"/>
    </row>
    <row r="149" spans="4:5">
      <c r="D149" s="535"/>
      <c r="E149" s="535"/>
    </row>
    <row r="150" spans="4:5">
      <c r="D150" s="535"/>
      <c r="E150" s="535"/>
    </row>
    <row r="151" spans="4:5">
      <c r="D151" s="535"/>
      <c r="E151" s="535"/>
    </row>
    <row r="152" spans="4:5">
      <c r="D152" s="535"/>
      <c r="E152" s="535"/>
    </row>
    <row r="153" spans="4:5">
      <c r="D153" s="535"/>
      <c r="E153" s="535"/>
    </row>
    <row r="154" spans="4:5">
      <c r="D154" s="535"/>
      <c r="E154" s="535"/>
    </row>
    <row r="155" spans="4:5">
      <c r="D155" s="535"/>
      <c r="E155" s="535"/>
    </row>
    <row r="156" spans="4:5">
      <c r="D156" s="535"/>
      <c r="E156" s="535"/>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O1" zoomScale="70" zoomScaleNormal="70" workbookViewId="0">
      <selection activeCell="G48" sqref="G48"/>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739</v>
      </c>
      <c r="C1" s="227" t="s">
        <v>808</v>
      </c>
      <c r="F1" s="228"/>
      <c r="G1" s="229" t="s">
        <v>162</v>
      </c>
      <c r="H1" s="229"/>
      <c r="I1" s="271">
        <v>1.05</v>
      </c>
      <c r="J1" s="271"/>
      <c r="K1" s="271"/>
      <c r="O1" s="231"/>
      <c r="U1" s="233"/>
      <c r="V1" s="295"/>
      <c r="W1" s="233"/>
      <c r="X1" s="233"/>
      <c r="Y1" s="233" t="s">
        <v>762</v>
      </c>
      <c r="Z1" s="603">
        <f>SUM('Data manipulation'!F23:F34)/1000</f>
        <v>0</v>
      </c>
      <c r="AA1" s="233"/>
      <c r="AB1" s="233"/>
      <c r="AD1" s="227"/>
    </row>
    <row r="2" spans="2:53" ht="14.5">
      <c r="B2" s="226"/>
      <c r="F2" s="228"/>
      <c r="G2" s="229"/>
      <c r="H2" s="229"/>
      <c r="I2" s="271"/>
      <c r="J2" s="271"/>
      <c r="K2" s="271"/>
      <c r="P2" s="227"/>
      <c r="Q2" s="227"/>
      <c r="R2" s="233"/>
      <c r="S2" s="233"/>
      <c r="T2" s="295"/>
      <c r="U2" s="233"/>
      <c r="V2" s="233"/>
      <c r="W2" s="266" t="s">
        <v>174</v>
      </c>
      <c r="X2" s="233"/>
      <c r="Y2" s="233" t="s">
        <v>92</v>
      </c>
      <c r="Z2" s="603">
        <f>SUM(Y6:AA49)</f>
        <v>513.19974199269745</v>
      </c>
      <c r="AD2" s="227"/>
    </row>
    <row r="3" spans="2:53" ht="13.5" thickBot="1">
      <c r="H3" s="234" t="s">
        <v>8</v>
      </c>
      <c r="J3" s="234"/>
      <c r="K3" s="234"/>
      <c r="L3" s="234"/>
      <c r="M3" s="234"/>
      <c r="N3" s="234"/>
      <c r="O3" s="235"/>
      <c r="P3" s="227"/>
      <c r="Q3" s="233"/>
      <c r="R3" s="233"/>
      <c r="S3" s="233"/>
      <c r="T3" s="268"/>
      <c r="U3" s="233"/>
      <c r="V3" s="233"/>
      <c r="W3" s="267">
        <v>3.5999999999999999E-3</v>
      </c>
      <c r="X3" s="233"/>
      <c r="Y3" s="437" t="s">
        <v>956</v>
      </c>
      <c r="Z3" s="438" t="s">
        <v>969</v>
      </c>
      <c r="AA3" s="439" t="s">
        <v>972</v>
      </c>
      <c r="AB3" s="437" t="s">
        <v>956</v>
      </c>
      <c r="AC3" s="438" t="s">
        <v>969</v>
      </c>
      <c r="AD3" s="439" t="s">
        <v>972</v>
      </c>
      <c r="AG3" s="236"/>
      <c r="AH3" s="237"/>
      <c r="AI3" s="237"/>
      <c r="AJ3" s="237"/>
      <c r="AK3" s="237"/>
      <c r="AL3" s="237"/>
    </row>
    <row r="4" spans="2:53">
      <c r="B4" s="238" t="s">
        <v>2</v>
      </c>
      <c r="C4" s="238" t="s">
        <v>26</v>
      </c>
      <c r="D4" s="422" t="s">
        <v>757</v>
      </c>
      <c r="E4" s="422" t="s">
        <v>758</v>
      </c>
      <c r="F4" s="238" t="s">
        <v>14</v>
      </c>
      <c r="G4" s="238" t="s">
        <v>15</v>
      </c>
      <c r="H4" s="422" t="s">
        <v>94</v>
      </c>
      <c r="I4" s="239" t="s">
        <v>944</v>
      </c>
      <c r="J4" s="239" t="s">
        <v>957</v>
      </c>
      <c r="K4" s="239" t="s">
        <v>973</v>
      </c>
      <c r="L4" s="240" t="s">
        <v>952</v>
      </c>
      <c r="M4" s="240" t="s">
        <v>965</v>
      </c>
      <c r="N4" s="240" t="s">
        <v>974</v>
      </c>
      <c r="O4" s="238" t="s">
        <v>0</v>
      </c>
      <c r="P4" s="238" t="s">
        <v>165</v>
      </c>
      <c r="Q4" s="239" t="s">
        <v>93</v>
      </c>
      <c r="R4" s="227" t="s">
        <v>827</v>
      </c>
      <c r="Y4" s="273" t="s">
        <v>75</v>
      </c>
      <c r="Z4" s="272" t="s">
        <v>75</v>
      </c>
      <c r="AA4" s="440" t="s">
        <v>75</v>
      </c>
      <c r="AB4" s="273" t="s">
        <v>71</v>
      </c>
      <c r="AC4" s="272" t="s">
        <v>71</v>
      </c>
      <c r="AD4" s="440"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756</v>
      </c>
      <c r="Q5" s="242" t="s">
        <v>94</v>
      </c>
      <c r="X5" s="227" t="s">
        <v>94</v>
      </c>
      <c r="Y5" s="275" t="s">
        <v>48</v>
      </c>
      <c r="Z5" s="458" t="s">
        <v>48</v>
      </c>
      <c r="AA5" s="441" t="s">
        <v>48</v>
      </c>
      <c r="AB5" s="275" t="s">
        <v>70</v>
      </c>
      <c r="AC5" s="274" t="s">
        <v>70</v>
      </c>
      <c r="AD5" s="441" t="s">
        <v>70</v>
      </c>
      <c r="AG5" s="241"/>
      <c r="AH5" s="237"/>
      <c r="AI5" s="237"/>
      <c r="AJ5" s="237"/>
      <c r="AK5" s="237"/>
      <c r="AL5" s="237"/>
    </row>
    <row r="6" spans="2:53" ht="15" customHeight="1">
      <c r="B6" s="227" t="str">
        <f>Processes!D53</f>
        <v>CHTUDNGAE1</v>
      </c>
      <c r="C6" s="227" t="str">
        <f>Processes!E53</f>
        <v>Residential Heating Technology Urban Detached - Natural Gas - Existing 1</v>
      </c>
      <c r="D6" s="227" t="s">
        <v>714</v>
      </c>
      <c r="E6" s="227" t="s">
        <v>102</v>
      </c>
      <c r="F6" s="230" t="str">
        <f>Commodities!$C$18&amp;","&amp;Commodities!$C$37&amp;","&amp;Commodities!$C$19</f>
        <v>COMNGA,COMSNG,COMBGA</v>
      </c>
      <c r="G6" s="230" t="str">
        <f>Commodities!$C$43</f>
        <v>COMHUDB</v>
      </c>
      <c r="H6" s="230">
        <v>2011</v>
      </c>
      <c r="I6" s="250">
        <f>ROUNDUP(AB6/($O6*$P6)*$R6,1)</f>
        <v>11830.2</v>
      </c>
      <c r="J6" s="250">
        <f>ROUNDUP(AC6/($O6*$P6)*$R6,1)</f>
        <v>0</v>
      </c>
      <c r="K6" s="250">
        <f>ROUNDUP(AD6/($O6*$P6)*$R6,1)</f>
        <v>0</v>
      </c>
      <c r="L6" s="462">
        <v>0.72</v>
      </c>
      <c r="M6" s="462">
        <v>0.72</v>
      </c>
      <c r="N6" s="462">
        <v>0.72</v>
      </c>
      <c r="O6" s="244">
        <f>31.536/1000</f>
        <v>3.1536000000000002E-2</v>
      </c>
      <c r="P6" s="459">
        <v>0.15</v>
      </c>
      <c r="Q6" s="245">
        <v>22</v>
      </c>
      <c r="R6" s="227">
        <v>1.05</v>
      </c>
      <c r="T6" s="268">
        <f>SUM(I6:K6)*O6*P6/L6</f>
        <v>77.72441400000001</v>
      </c>
      <c r="U6" s="268"/>
      <c r="V6" s="592" t="str">
        <f>'Data manipulation'!$B$36</f>
        <v>Natural gas and biogas</v>
      </c>
      <c r="W6" s="246" t="s">
        <v>168</v>
      </c>
      <c r="X6" s="246">
        <v>2011</v>
      </c>
      <c r="Y6" s="436">
        <f>_xlfn.IFNA(INDEX('Data manipulation'!$C$23:$O$39,MATCH($V6,'Data manipulation'!$B$23:$B$39,0),MATCH($X6,'Data manipulation'!$C$22:$O$22,0))/1000,0)*SUMIFS('Regional split'!$F$4:$F$6,'Regional split'!$B$4:$B$6,Y$3)*SUMIFS('Data manipulation'!$V$39:$V$42,'Data manipulation'!$X$39:$X$42,$E6,'Data manipulation'!$Y$39:$Y$42,$D6)</f>
        <v>74.023198164543416</v>
      </c>
      <c r="Z6" s="270">
        <f>_xlfn.IFNA(INDEX('Data manipulation'!$C$23:$O$39,MATCH($V6,'Data manipulation'!$B$23:$B$39,0),MATCH($X6,'Data manipulation'!$C$22:$O$22,0))/1000,0)*SUMIFS('Regional split'!$F$4:$F$6,'Regional split'!$B$4:$B$6,Z$3)*SUMIFS('Data manipulation'!$V$39:$V$42,'Data manipulation'!$X$39:$X$42,$E6,'Data manipulation'!$Y$39:$Y$42,$D6)</f>
        <v>0</v>
      </c>
      <c r="AA6" s="454">
        <f>_xlfn.IFNA(INDEX('Data manipulation'!$C$23:$O$39,MATCH($V6,'Data manipulation'!$B$23:$B$39,0),MATCH($X6,'Data manipulation'!$C$22:$O$22,0))/1000,0)*SUMIFS('Regional split'!$F$4:$F$6,'Regional split'!$B$4:$B$6,AA$3)*SUMIFS('Data manipulation'!$V$39:$V$42,'Data manipulation'!$X$39:$X$42,$E6,'Data manipulation'!$Y$39:$Y$42,$D6)</f>
        <v>0</v>
      </c>
      <c r="AB6" s="442">
        <f>Y6*L6</f>
        <v>53.296702678471256</v>
      </c>
      <c r="AC6" s="276">
        <f t="shared" ref="AC6:AC69" si="0">Z6*M6</f>
        <v>0</v>
      </c>
      <c r="AD6" s="443">
        <f t="shared" ref="AD6:AD69" si="1">AA6*N6</f>
        <v>0</v>
      </c>
      <c r="AG6" s="247"/>
      <c r="AH6" s="237"/>
      <c r="AI6" s="248"/>
      <c r="AJ6" s="249"/>
      <c r="AK6" s="249"/>
      <c r="AL6" s="237"/>
    </row>
    <row r="7" spans="2:53" ht="15" customHeight="1">
      <c r="B7" s="227" t="str">
        <f>Processes!D54</f>
        <v>CHTUDDSLE1</v>
      </c>
      <c r="C7" s="227" t="str">
        <f>Processes!E54</f>
        <v>Residential Heating Technology Urban Detached - Diesel - Existing 1</v>
      </c>
      <c r="D7" s="227" t="s">
        <v>714</v>
      </c>
      <c r="E7" s="227" t="s">
        <v>102</v>
      </c>
      <c r="F7" s="230" t="str">
        <f>Commodities!$C$21&amp;","&amp;Commodities!$C$38</f>
        <v>COMDSL,COMDSB</v>
      </c>
      <c r="G7" s="230" t="str">
        <f>Commodities!$C$43</f>
        <v>COMHUDB</v>
      </c>
      <c r="H7" s="230">
        <v>2011</v>
      </c>
      <c r="I7" s="250">
        <f t="shared" ref="I7:I15" si="2">ROUNDUP(AB7/($O7*$P7)*$R7,1)</f>
        <v>10280.4</v>
      </c>
      <c r="J7" s="250">
        <f t="shared" ref="J7:J14" si="3">ROUNDUP(AC7/($O7*$P7)*$R7,1)</f>
        <v>0</v>
      </c>
      <c r="K7" s="250">
        <f t="shared" ref="K7:K14" si="4">ROUNDUP(AD7/($O7*$P7)*$R7,1)</f>
        <v>0</v>
      </c>
      <c r="L7" s="463">
        <v>0.71</v>
      </c>
      <c r="M7" s="463">
        <v>0.71</v>
      </c>
      <c r="N7" s="463">
        <v>0.71</v>
      </c>
      <c r="O7" s="244">
        <f>31.536/1000</f>
        <v>3.1536000000000002E-2</v>
      </c>
      <c r="P7" s="459">
        <v>0.15</v>
      </c>
      <c r="Q7" s="245">
        <v>20</v>
      </c>
      <c r="R7" s="227">
        <v>1.05</v>
      </c>
      <c r="T7" s="268">
        <f t="shared" ref="T7:T74" si="5">SUM(I7:K7)*O7*P7/L7</f>
        <v>68.493526985915494</v>
      </c>
      <c r="V7" s="592" t="str">
        <f>'Data manipulation'!$B$28</f>
        <v>Gas oil and diesel oil and biodiesel</v>
      </c>
      <c r="W7" s="254" t="s">
        <v>729</v>
      </c>
      <c r="X7" s="246">
        <v>2011</v>
      </c>
      <c r="Y7" s="433">
        <f>_xlfn.IFNA(INDEX('Data manipulation'!$C$23:$O$39,MATCH($V7,'Data manipulation'!$B$23:$B$39,0),MATCH($X7,'Data manipulation'!$C$22:$O$22,0))/1000,0)*SUMIFS('Regional split'!$F$4:$F$6,'Regional split'!$B$4:$B$6,Y$3)*SUMIFS('Data manipulation'!$V$39:$V$42,'Data manipulation'!$X$39:$X$42,$E7,'Data manipulation'!$Y$39:$Y$42,$D7)</f>
        <v>65.231697833958975</v>
      </c>
      <c r="Z7" s="270">
        <f>_xlfn.IFNA(INDEX('Data manipulation'!$C$23:$O$39,MATCH($V7,'Data manipulation'!$B$23:$B$39,0),MATCH($X7,'Data manipulation'!$C$22:$O$22,0))/1000,0)*SUMIFS('Regional split'!$F$4:$F$6,'Regional split'!$B$4:$B$6,Z$3)*SUMIFS('Data manipulation'!$V$39:$V$42,'Data manipulation'!$X$39:$X$42,$E7,'Data manipulation'!$Y$39:$Y$42,$D7)</f>
        <v>0</v>
      </c>
      <c r="AA7" s="455">
        <f>_xlfn.IFNA(INDEX('Data manipulation'!$C$23:$O$39,MATCH($V7,'Data manipulation'!$B$23:$B$39,0),MATCH($X7,'Data manipulation'!$C$22:$O$22,0))/1000,0)*SUMIFS('Regional split'!$F$4:$F$6,'Regional split'!$B$4:$B$6,AA$3)*SUMIFS('Data manipulation'!$V$39:$V$42,'Data manipulation'!$X$39:$X$42,$E7,'Data manipulation'!$Y$39:$Y$42,$D7)</f>
        <v>0</v>
      </c>
      <c r="AB7" s="444">
        <f t="shared" ref="AB7:AB69" si="6">Y7*L7</f>
        <v>46.314505462110873</v>
      </c>
      <c r="AC7" s="251">
        <f t="shared" si="0"/>
        <v>0</v>
      </c>
      <c r="AD7" s="445">
        <f t="shared" si="1"/>
        <v>0</v>
      </c>
      <c r="AG7" s="247"/>
      <c r="AH7" s="237"/>
      <c r="AI7" s="248"/>
      <c r="AJ7" s="249"/>
      <c r="AK7" s="249"/>
      <c r="AL7" s="237"/>
      <c r="BA7" s="252"/>
    </row>
    <row r="8" spans="2:53" ht="15" customHeight="1">
      <c r="B8" s="227" t="str">
        <f>Processes!D55</f>
        <v>CHTUDWPEE1</v>
      </c>
      <c r="C8" s="227" t="str">
        <f>Processes!E55</f>
        <v>Residential Heating Technology Urban Detached - Wood pellets - Existing 1</v>
      </c>
      <c r="D8" s="227" t="s">
        <v>714</v>
      </c>
      <c r="E8" s="227" t="s">
        <v>102</v>
      </c>
      <c r="F8" s="230" t="str">
        <f>Commodities!$C$23</f>
        <v>COMWPE</v>
      </c>
      <c r="G8" s="230" t="str">
        <f>Commodities!$C$43</f>
        <v>COMHUDB</v>
      </c>
      <c r="H8" s="230">
        <v>2011</v>
      </c>
      <c r="I8" s="250">
        <f t="shared" si="2"/>
        <v>0</v>
      </c>
      <c r="J8" s="250">
        <f t="shared" si="3"/>
        <v>0</v>
      </c>
      <c r="K8" s="250">
        <f t="shared" si="4"/>
        <v>0</v>
      </c>
      <c r="L8" s="463">
        <v>0.61</v>
      </c>
      <c r="M8" s="463">
        <v>0.61</v>
      </c>
      <c r="N8" s="463">
        <v>0.61</v>
      </c>
      <c r="O8" s="244">
        <f t="shared" ref="O8:O27" si="7">31.536/1000</f>
        <v>3.1536000000000002E-2</v>
      </c>
      <c r="P8" s="459">
        <v>0.15</v>
      </c>
      <c r="Q8" s="245">
        <v>20</v>
      </c>
      <c r="R8" s="227">
        <v>1.05</v>
      </c>
      <c r="T8" s="268">
        <f t="shared" si="5"/>
        <v>0</v>
      </c>
      <c r="U8" s="268"/>
      <c r="W8" s="254" t="s">
        <v>866</v>
      </c>
      <c r="X8" s="246">
        <v>2011</v>
      </c>
      <c r="Y8" s="433">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5">
        <f>_xlfn.IFNA(INDEX('Data manipulation'!$C$23:$O$39,MATCH($V8,'Data manipulation'!$B$23:$B$39,0),MATCH($X8,'Data manipulation'!$C$22:$O$22,0))/1000,0)*SUMIFS('Regional split'!$F$4:$F$6,'Regional split'!$B$4:$B$6,AA$3)*SUMIFS('Data manipulation'!$V$39:$V$42,'Data manipulation'!$X$39:$X$42,$E8,'Data manipulation'!$Y$39:$Y$42,$D8)</f>
        <v>0</v>
      </c>
      <c r="AB8" s="444">
        <f>Y8*L8</f>
        <v>0</v>
      </c>
      <c r="AC8" s="251">
        <f t="shared" si="0"/>
        <v>0</v>
      </c>
      <c r="AD8" s="445">
        <f t="shared" si="1"/>
        <v>0</v>
      </c>
      <c r="BA8" s="253"/>
    </row>
    <row r="9" spans="2:53" ht="15" customHeight="1">
      <c r="B9" s="227" t="str">
        <f>Processes!D56</f>
        <v>CHTUDFIWE1</v>
      </c>
      <c r="C9" s="227" t="str">
        <f>Processes!E56</f>
        <v>Residential Heating Technology Urban Detached - Fire wood - Existing 1</v>
      </c>
      <c r="D9" s="227" t="s">
        <v>714</v>
      </c>
      <c r="E9" s="227" t="s">
        <v>102</v>
      </c>
      <c r="F9" s="230" t="str">
        <f>Commodities!$C$24</f>
        <v>COMFIW</v>
      </c>
      <c r="G9" s="230" t="str">
        <f>Commodities!$C$43</f>
        <v>COMHUDB</v>
      </c>
      <c r="H9" s="230">
        <v>2011</v>
      </c>
      <c r="I9" s="250">
        <f t="shared" si="2"/>
        <v>1756.5</v>
      </c>
      <c r="J9" s="250">
        <f t="shared" si="3"/>
        <v>0</v>
      </c>
      <c r="K9" s="250">
        <f t="shared" si="4"/>
        <v>0</v>
      </c>
      <c r="L9" s="463">
        <v>0.65000022993955098</v>
      </c>
      <c r="M9" s="463">
        <v>0.65000022993955098</v>
      </c>
      <c r="N9" s="463">
        <v>0.65000022993955098</v>
      </c>
      <c r="O9" s="244">
        <f t="shared" si="7"/>
        <v>3.1536000000000002E-2</v>
      </c>
      <c r="P9" s="459">
        <v>0.15</v>
      </c>
      <c r="Q9" s="245">
        <v>20</v>
      </c>
      <c r="R9" s="227">
        <v>1.05</v>
      </c>
      <c r="T9" s="268">
        <f t="shared" si="5"/>
        <v>12.782991785668628</v>
      </c>
      <c r="U9" s="268"/>
      <c r="V9" s="592" t="str">
        <f>'Data manipulation'!$B$31</f>
        <v>Primary solid biofuels</v>
      </c>
      <c r="W9" s="254" t="s">
        <v>177</v>
      </c>
      <c r="X9" s="246">
        <v>2011</v>
      </c>
      <c r="Y9" s="433">
        <f>_xlfn.IFNA(INDEX('Data manipulation'!$C$23:$O$39,MATCH($V9,'Data manipulation'!$B$23:$B$39,0),MATCH($X9,'Data manipulation'!$C$22:$O$22,0))/1000,0)*SUMIFS('Regional split'!$F$4:$F$6,'Regional split'!$B$4:$B$6,Y$3)*SUMIFS('Data manipulation'!$V$39:$V$42,'Data manipulation'!$X$39:$X$42,$E9,'Data manipulation'!$Y$39:$Y$42,$D9)</f>
        <v>12.173870367313075</v>
      </c>
      <c r="Z9" s="270">
        <f>_xlfn.IFNA(INDEX('Data manipulation'!$C$23:$O$39,MATCH($V9,'Data manipulation'!$B$23:$B$39,0),MATCH($X9,'Data manipulation'!$C$22:$O$22,0))/1000,0)*SUMIFS('Regional split'!$F$4:$F$6,'Regional split'!$B$4:$B$6,Z$3)*SUMIFS('Data manipulation'!$V$39:$V$42,'Data manipulation'!$X$39:$X$42,$E9,'Data manipulation'!$Y$39:$Y$42,$D9)</f>
        <v>0</v>
      </c>
      <c r="AA9" s="455">
        <f>_xlfn.IFNA(INDEX('Data manipulation'!$C$23:$O$39,MATCH($V9,'Data manipulation'!$B$23:$B$39,0),MATCH($X9,'Data manipulation'!$C$22:$O$22,0))/1000,0)*SUMIFS('Regional split'!$F$4:$F$6,'Regional split'!$B$4:$B$6,AA$3)*SUMIFS('Data manipulation'!$V$39:$V$42,'Data manipulation'!$X$39:$X$42,$E9,'Data manipulation'!$Y$39:$Y$42,$D9)</f>
        <v>0</v>
      </c>
      <c r="AB9" s="444">
        <f t="shared" si="6"/>
        <v>7.9130185380077851</v>
      </c>
      <c r="AC9" s="251">
        <f t="shared" si="0"/>
        <v>0</v>
      </c>
      <c r="AD9" s="445">
        <f t="shared" si="1"/>
        <v>0</v>
      </c>
      <c r="BA9" s="252"/>
    </row>
    <row r="10" spans="2:53" ht="15" customHeight="1">
      <c r="B10" s="233" t="str">
        <f>Processes!D57</f>
        <v>CHTUDCOAE1</v>
      </c>
      <c r="C10" s="233" t="str">
        <f>Processes!E57</f>
        <v>Residential Heating Technology Urban Detached - Coal - Existing 1</v>
      </c>
      <c r="D10" s="233" t="s">
        <v>714</v>
      </c>
      <c r="E10" s="233" t="s">
        <v>102</v>
      </c>
      <c r="F10" s="230" t="str">
        <f>Commodities!$C$25</f>
        <v>COMCOA</v>
      </c>
      <c r="G10" s="230" t="str">
        <f>Commodities!$C$43</f>
        <v>COMHUDB</v>
      </c>
      <c r="H10" s="230">
        <v>2011</v>
      </c>
      <c r="I10" s="250">
        <f t="shared" si="2"/>
        <v>169.2</v>
      </c>
      <c r="J10" s="250">
        <f t="shared" si="3"/>
        <v>0</v>
      </c>
      <c r="K10" s="250">
        <f t="shared" si="4"/>
        <v>0</v>
      </c>
      <c r="L10" s="463">
        <v>0.7</v>
      </c>
      <c r="M10" s="463">
        <v>0.7</v>
      </c>
      <c r="N10" s="463">
        <v>0.7</v>
      </c>
      <c r="O10" s="244">
        <f t="shared" si="7"/>
        <v>3.1536000000000002E-2</v>
      </c>
      <c r="P10" s="459">
        <v>0.15</v>
      </c>
      <c r="Q10" s="245">
        <v>20</v>
      </c>
      <c r="R10" s="227">
        <v>1.05</v>
      </c>
      <c r="T10" s="268">
        <f t="shared" si="5"/>
        <v>1.143405257142857</v>
      </c>
      <c r="U10" s="268"/>
      <c r="V10" s="592" t="str">
        <f>'Data manipulation'!$B$23</f>
        <v>Solid fossil fuels, peat, peat products, oil shale and oil sands</v>
      </c>
      <c r="W10" s="254" t="s">
        <v>863</v>
      </c>
      <c r="X10" s="246">
        <v>2011</v>
      </c>
      <c r="Y10" s="433">
        <f>_xlfn.IFNA(INDEX('Data manipulation'!$C$23:$O$39,MATCH($V10,'Data manipulation'!$B$23:$B$39,0),MATCH($X10,'Data manipulation'!$C$22:$O$22,0))/1000,0)*SUMIFS('Regional split'!$F$4:$F$6,'Regional split'!$B$4:$B$6,Y$3)*SUMIFS('Data manipulation'!$V$39:$V$42,'Data manipulation'!$X$39:$X$42,$E10,'Data manipulation'!$Y$39:$Y$42,$D10)</f>
        <v>1.0883920229999999</v>
      </c>
      <c r="Z10" s="270">
        <f>_xlfn.IFNA(INDEX('Data manipulation'!$C$23:$O$39,MATCH($V10,'Data manipulation'!$B$23:$B$39,0),MATCH($X10,'Data manipulation'!$C$22:$O$22,0))/1000,0)*SUMIFS('Regional split'!$F$4:$F$6,'Regional split'!$B$4:$B$6,Z$3)*SUMIFS('Data manipulation'!$V$39:$V$42,'Data manipulation'!$X$39:$X$42,$E10,'Data manipulation'!$Y$39:$Y$42,$D10)</f>
        <v>0</v>
      </c>
      <c r="AA10" s="455">
        <f>_xlfn.IFNA(INDEX('Data manipulation'!$C$23:$O$39,MATCH($V10,'Data manipulation'!$B$23:$B$39,0),MATCH($X10,'Data manipulation'!$C$22:$O$22,0))/1000,0)*SUMIFS('Regional split'!$F$4:$F$6,'Regional split'!$B$4:$B$6,AA$3)*SUMIFS('Data manipulation'!$V$39:$V$42,'Data manipulation'!$X$39:$X$42,$E10,'Data manipulation'!$Y$39:$Y$42,$D10)</f>
        <v>0</v>
      </c>
      <c r="AB10" s="444">
        <f t="shared" si="6"/>
        <v>0.76187441609999995</v>
      </c>
      <c r="AC10" s="251">
        <f t="shared" si="0"/>
        <v>0</v>
      </c>
      <c r="AD10" s="445">
        <f t="shared" si="1"/>
        <v>0</v>
      </c>
      <c r="BA10" s="252"/>
    </row>
    <row r="11" spans="2:53" ht="15" customHeight="1">
      <c r="B11" s="233" t="str">
        <f>Processes!D58</f>
        <v>CHTUDSOLE1</v>
      </c>
      <c r="C11" s="233" t="str">
        <f>Processes!E58</f>
        <v>Residential Heating Technology Urban Detached - Solar - Existing 1</v>
      </c>
      <c r="D11" s="233" t="s">
        <v>714</v>
      </c>
      <c r="E11" s="233" t="s">
        <v>102</v>
      </c>
      <c r="F11" s="230" t="str">
        <f>Commodities!$C$27</f>
        <v>COMSOL</v>
      </c>
      <c r="G11" s="230" t="str">
        <f>Commodities!$C$43</f>
        <v>COMHUDB</v>
      </c>
      <c r="H11" s="230">
        <v>2011</v>
      </c>
      <c r="I11" s="250">
        <f t="shared" si="2"/>
        <v>9</v>
      </c>
      <c r="J11" s="250">
        <f t="shared" si="3"/>
        <v>0</v>
      </c>
      <c r="K11" s="250">
        <f t="shared" si="4"/>
        <v>0</v>
      </c>
      <c r="L11" s="463">
        <v>1</v>
      </c>
      <c r="M11" s="463">
        <v>1</v>
      </c>
      <c r="N11" s="463">
        <v>1</v>
      </c>
      <c r="O11" s="244">
        <f t="shared" si="7"/>
        <v>3.1536000000000002E-2</v>
      </c>
      <c r="P11" s="459">
        <v>0.15</v>
      </c>
      <c r="Q11" s="245">
        <v>20</v>
      </c>
      <c r="R11" s="227">
        <v>1.05</v>
      </c>
      <c r="T11" s="268">
        <f t="shared" si="5"/>
        <v>4.2573600000000003E-2</v>
      </c>
      <c r="U11" s="268"/>
      <c r="V11" s="592" t="str">
        <f>'Data manipulation'!$B$29</f>
        <v>Solar thermal</v>
      </c>
      <c r="W11" s="254" t="s">
        <v>169</v>
      </c>
      <c r="X11" s="246">
        <v>2011</v>
      </c>
      <c r="Y11" s="433">
        <f>_xlfn.IFNA(INDEX('Data manipulation'!$C$23:$O$39,MATCH($V11,'Data manipulation'!$B$23:$B$39,0),MATCH($X11,'Data manipulation'!$C$22:$O$22,0))/1000,0)*SUMIFS('Regional split'!$F$4:$F$6,'Regional split'!$B$4:$B$6,Y$3)*SUMIFS('Data manipulation'!$V$39:$V$42,'Data manipulation'!$X$39:$X$42,$E11,'Data manipulation'!$Y$39:$Y$42,$D11)</f>
        <v>4.0313416000000005E-2</v>
      </c>
      <c r="Z11" s="270">
        <f>_xlfn.IFNA(INDEX('Data manipulation'!$C$23:$O$39,MATCH($V11,'Data manipulation'!$B$23:$B$39,0),MATCH($X11,'Data manipulation'!$C$22:$O$22,0))/1000,0)*SUMIFS('Regional split'!$F$4:$F$6,'Regional split'!$B$4:$B$6,Z$3)*SUMIFS('Data manipulation'!$V$39:$V$42,'Data manipulation'!$X$39:$X$42,$E11,'Data manipulation'!$Y$39:$Y$42,$D11)</f>
        <v>0</v>
      </c>
      <c r="AA11" s="455">
        <f>_xlfn.IFNA(INDEX('Data manipulation'!$C$23:$O$39,MATCH($V11,'Data manipulation'!$B$23:$B$39,0),MATCH($X11,'Data manipulation'!$C$22:$O$22,0))/1000,0)*SUMIFS('Regional split'!$F$4:$F$6,'Regional split'!$B$4:$B$6,AA$3)*SUMIFS('Data manipulation'!$V$39:$V$42,'Data manipulation'!$X$39:$X$42,$E11,'Data manipulation'!$Y$39:$Y$42,$D11)</f>
        <v>0</v>
      </c>
      <c r="AB11" s="444">
        <f t="shared" si="6"/>
        <v>4.0313416000000005E-2</v>
      </c>
      <c r="AC11" s="251">
        <f t="shared" si="0"/>
        <v>0</v>
      </c>
      <c r="AD11" s="445">
        <f t="shared" si="1"/>
        <v>0</v>
      </c>
      <c r="BA11" s="252"/>
    </row>
    <row r="12" spans="2:53" ht="15" customHeight="1">
      <c r="B12" s="233" t="str">
        <f>Processes!D59</f>
        <v>CHTUDGEOE1</v>
      </c>
      <c r="C12" s="233" t="str">
        <f>Processes!E59</f>
        <v>Residential Heating Technology Urban Detached - Geothermal - Existing 1</v>
      </c>
      <c r="D12" s="233" t="s">
        <v>714</v>
      </c>
      <c r="E12" s="233" t="s">
        <v>102</v>
      </c>
      <c r="F12" s="230" t="str">
        <f>Commodities!$C$28</f>
        <v>COMGEO</v>
      </c>
      <c r="G12" s="230" t="str">
        <f>Commodities!$C$43</f>
        <v>COMHUDB</v>
      </c>
      <c r="H12" s="230">
        <v>2011</v>
      </c>
      <c r="I12" s="250">
        <f t="shared" si="2"/>
        <v>112.5</v>
      </c>
      <c r="J12" s="250">
        <f t="shared" si="3"/>
        <v>0</v>
      </c>
      <c r="K12" s="250">
        <f t="shared" si="4"/>
        <v>0</v>
      </c>
      <c r="L12" s="463">
        <v>1</v>
      </c>
      <c r="M12" s="463">
        <v>1</v>
      </c>
      <c r="N12" s="463">
        <v>1</v>
      </c>
      <c r="O12" s="244">
        <f t="shared" si="7"/>
        <v>3.1536000000000002E-2</v>
      </c>
      <c r="P12" s="459">
        <v>0.15</v>
      </c>
      <c r="Q12" s="245">
        <v>20</v>
      </c>
      <c r="R12" s="227">
        <v>1.05</v>
      </c>
      <c r="T12" s="268">
        <f t="shared" si="5"/>
        <v>0.53217000000000003</v>
      </c>
      <c r="U12" s="268"/>
      <c r="V12" s="592" t="str">
        <f>'Data manipulation'!$B$38</f>
        <v>Geothermal</v>
      </c>
      <c r="W12" s="254" t="s">
        <v>991</v>
      </c>
      <c r="X12" s="246">
        <v>2011</v>
      </c>
      <c r="Y12" s="433">
        <f>_xlfn.IFNA(INDEX('Data manipulation'!$C$23:$O$39,MATCH($V12,'Data manipulation'!$B$23:$B$39,0),MATCH($X12,'Data manipulation'!$C$22:$O$22,0))/1000,0)*SUMIFS('Regional split'!$F$4:$F$6,'Regional split'!$B$4:$B$6,Y$3)*SUMIFS('Data manipulation'!$V$39:$V$42,'Data manipulation'!$X$39:$X$42,$E12,'Data manipulation'!$Y$39:$Y$42,$D12)</f>
        <v>0.50652700000000006</v>
      </c>
      <c r="Z12" s="270">
        <f>_xlfn.IFNA(INDEX('Data manipulation'!$C$23:$O$39,MATCH($V12,'Data manipulation'!$B$23:$B$39,0),MATCH($X12,'Data manipulation'!$C$22:$O$22,0))/1000,0)*SUMIFS('Regional split'!$F$4:$F$6,'Regional split'!$B$4:$B$6,Z$3)*SUMIFS('Data manipulation'!$V$39:$V$42,'Data manipulation'!$X$39:$X$42,$E12,'Data manipulation'!$Y$39:$Y$42,$D12)</f>
        <v>0</v>
      </c>
      <c r="AA12" s="455">
        <f>_xlfn.IFNA(INDEX('Data manipulation'!$C$23:$O$39,MATCH($V12,'Data manipulation'!$B$23:$B$39,0),MATCH($X12,'Data manipulation'!$C$22:$O$22,0))/1000,0)*SUMIFS('Regional split'!$F$4:$F$6,'Regional split'!$B$4:$B$6,AA$3)*SUMIFS('Data manipulation'!$V$39:$V$42,'Data manipulation'!$X$39:$X$42,$E12,'Data manipulation'!$Y$39:$Y$42,$D12)</f>
        <v>0</v>
      </c>
      <c r="AB12" s="444">
        <f t="shared" si="6"/>
        <v>0.50652700000000006</v>
      </c>
      <c r="AC12" s="251">
        <f t="shared" si="0"/>
        <v>0</v>
      </c>
      <c r="AD12" s="445">
        <f t="shared" si="1"/>
        <v>0</v>
      </c>
      <c r="BA12" s="252"/>
    </row>
    <row r="13" spans="2:53" ht="15" customHeight="1">
      <c r="B13" s="233" t="str">
        <f>Processes!D60</f>
        <v>CHTUDELCHE1</v>
      </c>
      <c r="C13" s="233" t="str">
        <f>Processes!E60</f>
        <v>Residential Heating Technology Urban Detached - Electricity Heating - Existing 1</v>
      </c>
      <c r="D13" s="233" t="s">
        <v>714</v>
      </c>
      <c r="E13" s="233" t="s">
        <v>102</v>
      </c>
      <c r="F13" s="230" t="str">
        <f>Commodities!$C$29</f>
        <v>COMELCH</v>
      </c>
      <c r="G13" s="230" t="str">
        <f>Commodities!$C$43</f>
        <v>COMHUDB</v>
      </c>
      <c r="H13" s="230">
        <v>2011</v>
      </c>
      <c r="I13" s="250">
        <f t="shared" si="2"/>
        <v>1727.8</v>
      </c>
      <c r="J13" s="250">
        <f t="shared" si="3"/>
        <v>0</v>
      </c>
      <c r="K13" s="250">
        <f t="shared" si="4"/>
        <v>0</v>
      </c>
      <c r="L13" s="463">
        <v>1</v>
      </c>
      <c r="M13" s="463">
        <v>1</v>
      </c>
      <c r="N13" s="463">
        <v>1</v>
      </c>
      <c r="O13" s="244">
        <f t="shared" si="7"/>
        <v>3.1536000000000002E-2</v>
      </c>
      <c r="P13" s="459">
        <v>0.15</v>
      </c>
      <c r="Q13" s="245">
        <v>30</v>
      </c>
      <c r="R13" s="227">
        <v>1.05</v>
      </c>
      <c r="T13" s="268">
        <f t="shared" si="5"/>
        <v>8.1731851199999994</v>
      </c>
      <c r="U13" s="268"/>
      <c r="V13" s="592" t="str">
        <f>'Data manipulation'!$B$33</f>
        <v>Electricity</v>
      </c>
      <c r="W13" s="254" t="s">
        <v>170</v>
      </c>
      <c r="X13" s="246">
        <v>2011</v>
      </c>
      <c r="Y13" s="433">
        <f>_xlfn.IFNA(INDEX('Data manipulation'!$C$23:$O$39,MATCH($V13,'Data manipulation'!$B$23:$B$39,0),MATCH($X13,'Data manipulation'!$C$22:$O$22,0))/1000,0)*SUMIFS('Regional split'!$F$4:$F$6,'Regional split'!$B$4:$B$6,Y$3)*SUMIFS('Data manipulation'!$V$39:$V$42,'Data manipulation'!$X$39:$X$42,$E13,'Data manipulation'!$Y$39:$Y$42,$D13)</f>
        <v>7.7835656985587143</v>
      </c>
      <c r="Z13" s="270">
        <f>_xlfn.IFNA(INDEX('Data manipulation'!$C$23:$O$39,MATCH($V13,'Data manipulation'!$B$23:$B$39,0),MATCH($X13,'Data manipulation'!$C$22:$O$22,0))/1000,0)*SUMIFS('Regional split'!$F$4:$F$6,'Regional split'!$B$4:$B$6,Z$3)*SUMIFS('Data manipulation'!$V$39:$V$42,'Data manipulation'!$X$39:$X$42,$E13,'Data manipulation'!$Y$39:$Y$42,$D13)</f>
        <v>0</v>
      </c>
      <c r="AA13" s="455">
        <f>_xlfn.IFNA(INDEX('Data manipulation'!$C$23:$O$39,MATCH($V13,'Data manipulation'!$B$23:$B$39,0),MATCH($X13,'Data manipulation'!$C$22:$O$22,0))/1000,0)*SUMIFS('Regional split'!$F$4:$F$6,'Regional split'!$B$4:$B$6,AA$3)*SUMIFS('Data manipulation'!$V$39:$V$42,'Data manipulation'!$X$39:$X$42,$E13,'Data manipulation'!$Y$39:$Y$42,$D13)</f>
        <v>0</v>
      </c>
      <c r="AB13" s="444">
        <f t="shared" si="6"/>
        <v>7.7835656985587143</v>
      </c>
      <c r="AC13" s="251">
        <f t="shared" si="0"/>
        <v>0</v>
      </c>
      <c r="AD13" s="445">
        <f t="shared" si="1"/>
        <v>0</v>
      </c>
      <c r="BA13" s="252"/>
    </row>
    <row r="14" spans="2:53" ht="15" customHeight="1">
      <c r="B14" s="233" t="str">
        <f>Processes!D61</f>
        <v>CHTUDELCHE2</v>
      </c>
      <c r="C14" s="233" t="str">
        <f>Processes!E61</f>
        <v>Residential Heating Technology Urban Detached - Electricity Heating - Existing 2</v>
      </c>
      <c r="D14" s="233" t="s">
        <v>714</v>
      </c>
      <c r="E14" s="233" t="s">
        <v>102</v>
      </c>
      <c r="F14" s="230" t="str">
        <f>Commodities!$C$29</f>
        <v>COMELCH</v>
      </c>
      <c r="G14" s="230" t="str">
        <f>Commodities!$C$43</f>
        <v>COMHUDB</v>
      </c>
      <c r="H14" s="230">
        <v>2011</v>
      </c>
      <c r="I14" s="250">
        <f t="shared" si="2"/>
        <v>203.2</v>
      </c>
      <c r="J14" s="250">
        <f t="shared" si="3"/>
        <v>0</v>
      </c>
      <c r="K14" s="250">
        <f t="shared" si="4"/>
        <v>0</v>
      </c>
      <c r="L14" s="463">
        <v>2.3149999999999999</v>
      </c>
      <c r="M14" s="463">
        <v>2.3149999999999999</v>
      </c>
      <c r="N14" s="463">
        <v>2.3149999999999999</v>
      </c>
      <c r="O14" s="244">
        <f t="shared" si="7"/>
        <v>3.1536000000000002E-2</v>
      </c>
      <c r="P14" s="459">
        <v>0.15</v>
      </c>
      <c r="Q14" s="245">
        <v>30</v>
      </c>
      <c r="R14" s="227">
        <v>1.05</v>
      </c>
      <c r="T14" s="268">
        <f t="shared" si="5"/>
        <v>0.41521264794816415</v>
      </c>
      <c r="U14" s="268"/>
      <c r="V14" s="592" t="str">
        <f>'Data manipulation'!$B$30</f>
        <v>Ambient heat (heat pumps)</v>
      </c>
      <c r="W14" s="254" t="s">
        <v>171</v>
      </c>
      <c r="X14" s="246">
        <v>2011</v>
      </c>
      <c r="Y14" s="433">
        <f>_xlfn.IFNA(INDEX('Data manipulation'!$C$23:$O$39,MATCH($V14,'Data manipulation'!$B$23:$B$39,0),MATCH($X14,'Data manipulation'!$C$22:$O$22,0))/1000,0)*SUMIFS('Regional split'!$F$4:$F$6,'Regional split'!$B$4:$B$6,Y$3)*SUMIFS('Data manipulation'!$V$39:$V$42,'Data manipulation'!$X$39:$X$42,$E14,'Data manipulation'!$Y$39:$Y$42,$D14)</f>
        <v>0.39533585000000004</v>
      </c>
      <c r="Z14" s="270">
        <f>_xlfn.IFNA(INDEX('Data manipulation'!$C$23:$O$39,MATCH($V14,'Data manipulation'!$B$23:$B$39,0),MATCH($X14,'Data manipulation'!$C$22:$O$22,0))/1000,0)*SUMIFS('Regional split'!$F$4:$F$6,'Regional split'!$B$4:$B$6,Z$3)*SUMIFS('Data manipulation'!$V$39:$V$42,'Data manipulation'!$X$39:$X$42,$E14,'Data manipulation'!$Y$39:$Y$42,$D14)</f>
        <v>0</v>
      </c>
      <c r="AA14" s="455">
        <f>_xlfn.IFNA(INDEX('Data manipulation'!$C$23:$O$39,MATCH($V14,'Data manipulation'!$B$23:$B$39,0),MATCH($X14,'Data manipulation'!$C$22:$O$22,0))/1000,0)*SUMIFS('Regional split'!$F$4:$F$6,'Regional split'!$B$4:$B$6,AA$3)*SUMIFS('Data manipulation'!$V$39:$V$42,'Data manipulation'!$X$39:$X$42,$E14,'Data manipulation'!$Y$39:$Y$42,$D14)</f>
        <v>0</v>
      </c>
      <c r="AB14" s="444">
        <f t="shared" si="6"/>
        <v>0.9152024927500001</v>
      </c>
      <c r="AC14" s="251">
        <f t="shared" si="0"/>
        <v>0</v>
      </c>
      <c r="AD14" s="445">
        <f t="shared" si="1"/>
        <v>0</v>
      </c>
      <c r="BA14" s="253"/>
    </row>
    <row r="15" spans="2:53" ht="14.5">
      <c r="B15" s="233" t="str">
        <f>Processes!D62</f>
        <v>CHTUDHCEE1</v>
      </c>
      <c r="C15" s="233" t="str">
        <f>Processes!E62</f>
        <v>Residential Heating Technology Urban Detached - District heating Central - Existing 1</v>
      </c>
      <c r="D15" s="233" t="s">
        <v>714</v>
      </c>
      <c r="E15" s="233" t="s">
        <v>102</v>
      </c>
      <c r="F15" s="230" t="str">
        <f>Commodities!$C$34</f>
        <v>COMHCE</v>
      </c>
      <c r="G15" s="230" t="str">
        <f>Commodities!$C$39</f>
        <v>COMHUDX</v>
      </c>
      <c r="H15" s="230">
        <v>2011</v>
      </c>
      <c r="I15" s="250">
        <f t="shared" si="2"/>
        <v>4400.3</v>
      </c>
      <c r="J15" s="568">
        <v>0</v>
      </c>
      <c r="K15" s="568">
        <v>0</v>
      </c>
      <c r="L15" s="463">
        <v>0.95</v>
      </c>
      <c r="M15" s="463">
        <v>0.95</v>
      </c>
      <c r="N15" s="463">
        <v>0.95</v>
      </c>
      <c r="O15" s="244">
        <f t="shared" si="7"/>
        <v>3.1536000000000002E-2</v>
      </c>
      <c r="P15" s="459">
        <v>0.15</v>
      </c>
      <c r="Q15" s="245">
        <v>30</v>
      </c>
      <c r="R15" s="227">
        <v>1.05</v>
      </c>
      <c r="T15" s="268">
        <f t="shared" si="5"/>
        <v>21.910714863157899</v>
      </c>
      <c r="U15" s="268"/>
      <c r="V15" s="592" t="str">
        <f>'Data manipulation'!$B$34</f>
        <v>Heat</v>
      </c>
      <c r="W15" s="254" t="s">
        <v>172</v>
      </c>
      <c r="X15" s="246">
        <v>2011</v>
      </c>
      <c r="Y15" s="433">
        <f>_xlfn.IFNA(INDEX('Data manipulation'!$C$23:$O$39,MATCH($V15,'Data manipulation'!$B$23:$B$39,0),MATCH($X15,'Data manipulation'!$C$22:$O$22,0))/1000,0)*SUMIFS('Regional split'!$F$4:$F$6,'Regional split'!$B$4:$B$6,Y$3)*SUMIFS('Data manipulation'!$V$39:$V$42,'Data manipulation'!$X$39:$X$42,$E15,'Data manipulation'!$Y$39:$Y$42,$D15)</f>
        <v>20.867185921792217</v>
      </c>
      <c r="Z15" s="270">
        <f>_xlfn.IFNA(INDEX('Data manipulation'!$C$23:$O$39,MATCH($V15,'Data manipulation'!$B$23:$B$39,0),MATCH($X15,'Data manipulation'!$C$22:$O$22,0))/1000,0)*SUMIFS('Regional split'!$F$4:$F$6,'Regional split'!$B$4:$B$6,Z$3)*SUMIFS('Data manipulation'!$V$39:$V$42,'Data manipulation'!$X$39:$X$42,$E15,'Data manipulation'!$Y$39:$Y$42,$D15)</f>
        <v>0</v>
      </c>
      <c r="AA15" s="455">
        <f>_xlfn.IFNA(INDEX('Data manipulation'!$C$23:$O$39,MATCH($V15,'Data manipulation'!$B$23:$B$39,0),MATCH($X15,'Data manipulation'!$C$22:$O$22,0))/1000,0)*SUMIFS('Regional split'!$F$4:$F$6,'Regional split'!$B$4:$B$6,AA$3)*SUMIFS('Data manipulation'!$V$39:$V$42,'Data manipulation'!$X$39:$X$42,$E15,'Data manipulation'!$Y$39:$Y$42,$D15)</f>
        <v>0</v>
      </c>
      <c r="AB15" s="444">
        <f t="shared" si="6"/>
        <v>19.823826625702605</v>
      </c>
      <c r="AC15" s="251">
        <f t="shared" si="0"/>
        <v>0</v>
      </c>
      <c r="AD15" s="445">
        <f t="shared" si="1"/>
        <v>0</v>
      </c>
      <c r="BA15" s="252"/>
    </row>
    <row r="16" spans="2:53" ht="15" customHeight="1" thickBot="1">
      <c r="B16" s="255" t="str">
        <f>Processes!D63</f>
        <v>CHTUDLPGE1</v>
      </c>
      <c r="C16" s="255" t="str">
        <f>Processes!E63</f>
        <v>Residential Heating Technology Urban Detached - LPG - Existing 1</v>
      </c>
      <c r="D16" s="531" t="s">
        <v>714</v>
      </c>
      <c r="E16" s="531" t="s">
        <v>102</v>
      </c>
      <c r="F16" s="256" t="str">
        <f>Commodities!$C$20</f>
        <v>COMLPG</v>
      </c>
      <c r="G16" s="256" t="str">
        <f>G14</f>
        <v>COMHUDB</v>
      </c>
      <c r="H16" s="230">
        <v>2011</v>
      </c>
      <c r="I16" s="297">
        <f t="shared" ref="I16" si="8">ROUNDUP(AB16/($O16*$P16)*$R16,1)</f>
        <v>739.1</v>
      </c>
      <c r="J16" s="297">
        <f t="shared" ref="J16" si="9">ROUNDUP(AC16/($O16*$P16)*$R16,1)</f>
        <v>0</v>
      </c>
      <c r="K16" s="297">
        <f t="shared" ref="K16" si="10">ROUNDUP(AD16/($O16*$P16)*$R16,1)</f>
        <v>0</v>
      </c>
      <c r="L16" s="464">
        <v>0.95</v>
      </c>
      <c r="M16" s="464">
        <v>0.95</v>
      </c>
      <c r="N16" s="464">
        <v>0.95</v>
      </c>
      <c r="O16" s="257">
        <f t="shared" si="7"/>
        <v>3.1536000000000002E-2</v>
      </c>
      <c r="P16" s="460">
        <v>0.15</v>
      </c>
      <c r="Q16" s="258">
        <v>30</v>
      </c>
      <c r="R16" s="227">
        <v>1.05</v>
      </c>
      <c r="T16" s="268">
        <f t="shared" si="5"/>
        <v>3.6802512000000003</v>
      </c>
      <c r="U16" s="268"/>
      <c r="V16" s="593" t="str">
        <f>'Data manipulation'!$B$25</f>
        <v>Liquefied natural gas</v>
      </c>
      <c r="W16" s="428" t="s">
        <v>771</v>
      </c>
      <c r="X16" s="246">
        <v>2011</v>
      </c>
      <c r="Y16" s="434">
        <f>_xlfn.IFNA(INDEX('Data manipulation'!$C$23:$O$39,MATCH($V16,'Data manipulation'!$B$23:$B$39,0),MATCH($X16,'Data manipulation'!$C$22:$O$22,0))/1000,0)*SUMIFS('Regional split'!$F$4:$F$6,'Regional split'!$B$4:$B$6,Y$3)*SUMIFS('Data manipulation'!$V$39:$V$42,'Data manipulation'!$X$39:$X$42,$E16,'Data manipulation'!$Y$39:$Y$42,$D16)</f>
        <v>3.5046324166353999</v>
      </c>
      <c r="Z16" s="431">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6">
        <f t="shared" si="6"/>
        <v>3.3294007958036298</v>
      </c>
      <c r="AC16" s="277">
        <f t="shared" si="0"/>
        <v>0</v>
      </c>
      <c r="AD16" s="447">
        <f t="shared" si="1"/>
        <v>0</v>
      </c>
      <c r="BA16" s="252"/>
    </row>
    <row r="17" spans="2:53" ht="15" customHeight="1">
      <c r="B17" s="233" t="str">
        <f>Processes!D64</f>
        <v>CHTRDNGAE1</v>
      </c>
      <c r="C17" s="233" t="str">
        <f>Processes!E64</f>
        <v>Residential Heating Technology Rural Detached - Natural Gas - Existing 1</v>
      </c>
      <c r="D17" s="233" t="s">
        <v>715</v>
      </c>
      <c r="E17" s="233" t="s">
        <v>102</v>
      </c>
      <c r="F17" s="230" t="str">
        <f>Commodities!$C$18&amp;","&amp;Commodities!$C$37</f>
        <v>COMNGA,COMSNG</v>
      </c>
      <c r="G17" s="259" t="str">
        <f>Commodities!$C$44</f>
        <v>COMHRDB</v>
      </c>
      <c r="H17" s="230">
        <v>2011</v>
      </c>
      <c r="I17" s="250">
        <f>ROUNDUP(AB17/($O17*$P17)*$R17,1)</f>
        <v>21038.799999999999</v>
      </c>
      <c r="J17" s="250">
        <f>ROUNDUP(AC17/($O17*$P17)*$R17,1)</f>
        <v>0</v>
      </c>
      <c r="K17" s="250">
        <f>ROUNDUP(AD17/($O17*$P17)*$R17,1)</f>
        <v>0</v>
      </c>
      <c r="L17" s="463">
        <v>0.79</v>
      </c>
      <c r="M17" s="463">
        <v>0.79</v>
      </c>
      <c r="N17" s="463">
        <v>0.79</v>
      </c>
      <c r="O17" s="244">
        <f t="shared" si="7"/>
        <v>3.1536000000000002E-2</v>
      </c>
      <c r="P17" s="459">
        <v>0.15</v>
      </c>
      <c r="Q17" s="245">
        <v>25</v>
      </c>
      <c r="R17" s="227">
        <v>1.05</v>
      </c>
      <c r="T17" s="268">
        <f t="shared" si="5"/>
        <v>125.97713863291138</v>
      </c>
      <c r="U17" s="268"/>
      <c r="V17" s="592" t="str">
        <f>'Data manipulation'!$B$36</f>
        <v>Natural gas and biogas</v>
      </c>
      <c r="W17" s="246" t="s">
        <v>168</v>
      </c>
      <c r="X17" s="246">
        <v>2011</v>
      </c>
      <c r="Y17" s="433">
        <f>_xlfn.IFNA(INDEX('Data manipulation'!$C$23:$O$39,MATCH($V17,'Data manipulation'!$B$23:$B$39,0),MATCH($X17,'Data manipulation'!$C$22:$O$22,0))/1000,0)*SUMIFS('Regional split'!$F$4:$F$6,'Regional split'!$B$4:$B$6,Y$3)*SUMIFS('Data manipulation'!$V$39:$V$42,'Data manipulation'!$X$39:$X$42,$E17,'Data manipulation'!$Y$39:$Y$42,$D17)</f>
        <v>119.97812044513357</v>
      </c>
      <c r="Z17" s="270">
        <f>_xlfn.IFNA(INDEX('Data manipulation'!$C$23:$O$39,MATCH($V17,'Data manipulation'!$B$23:$B$39,0),MATCH($X17,'Data manipulation'!$C$22:$O$22,0))/1000,0)*SUMIFS('Regional split'!$F$4:$F$6,'Regional split'!$B$4:$B$6,Z$3)*SUMIFS('Data manipulation'!$V$39:$V$42,'Data manipulation'!$X$39:$X$42,$E17,'Data manipulation'!$Y$39:$Y$42,$D17)</f>
        <v>0</v>
      </c>
      <c r="AA17" s="455">
        <f>_xlfn.IFNA(INDEX('Data manipulation'!$C$23:$O$39,MATCH($V17,'Data manipulation'!$B$23:$B$39,0),MATCH($X17,'Data manipulation'!$C$22:$O$22,0))/1000,0)*SUMIFS('Regional split'!$F$4:$F$6,'Regional split'!$B$4:$B$6,AA$3)*SUMIFS('Data manipulation'!$V$39:$V$42,'Data manipulation'!$X$39:$X$42,$E17,'Data manipulation'!$Y$39:$Y$42,$D17)</f>
        <v>0</v>
      </c>
      <c r="AB17" s="444">
        <f>Y17*L17</f>
        <v>94.782715151655523</v>
      </c>
      <c r="AC17" s="278">
        <f t="shared" si="0"/>
        <v>0</v>
      </c>
      <c r="AD17" s="448">
        <f t="shared" si="1"/>
        <v>0</v>
      </c>
      <c r="BA17" s="252"/>
    </row>
    <row r="18" spans="2:53" ht="15" customHeight="1">
      <c r="B18" s="233" t="str">
        <f>Processes!D65</f>
        <v>CHTRDDSLE1</v>
      </c>
      <c r="C18" s="233" t="str">
        <f>Processes!E65</f>
        <v>Residential Heating Technology Rural Detached - Diesel - Existing 1</v>
      </c>
      <c r="D18" s="233" t="s">
        <v>715</v>
      </c>
      <c r="E18" s="233" t="s">
        <v>102</v>
      </c>
      <c r="F18" s="230" t="str">
        <f>Commodities!$C$21&amp;","&amp;Commodities!$C$38</f>
        <v>COMDSL,COMDSB</v>
      </c>
      <c r="G18" s="259" t="str">
        <f>Commodities!$C$44</f>
        <v>COMHRDB</v>
      </c>
      <c r="H18" s="230">
        <v>2011</v>
      </c>
      <c r="I18" s="250">
        <f t="shared" ref="I18:I25" si="11">ROUNDUP(AB18/($O18*$P18)*$R18,1)</f>
        <v>0</v>
      </c>
      <c r="J18" s="250">
        <f t="shared" ref="J18:J25" si="12">ROUNDUP(AC18/($O18*$P18)*$R18,1)</f>
        <v>0</v>
      </c>
      <c r="K18" s="250">
        <f t="shared" ref="K18:K25" si="13">ROUNDUP(AD18/($O18*$P18)*$R18,1)</f>
        <v>0</v>
      </c>
      <c r="L18" s="463">
        <v>0.79</v>
      </c>
      <c r="M18" s="463">
        <v>0.79</v>
      </c>
      <c r="N18" s="463">
        <v>0.79</v>
      </c>
      <c r="O18" s="244">
        <f t="shared" si="7"/>
        <v>3.1536000000000002E-2</v>
      </c>
      <c r="P18" s="459">
        <v>0.15</v>
      </c>
      <c r="Q18" s="245">
        <v>20</v>
      </c>
      <c r="R18" s="227">
        <v>1.05</v>
      </c>
      <c r="T18" s="268">
        <f t="shared" si="5"/>
        <v>0</v>
      </c>
      <c r="V18" s="592" t="str">
        <f>'Data manipulation'!$B$35</f>
        <v>Oil products</v>
      </c>
      <c r="W18" s="254" t="s">
        <v>729</v>
      </c>
      <c r="X18" s="246">
        <v>2011</v>
      </c>
      <c r="Y18" s="433">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5">
        <f>_xlfn.IFNA(INDEX('Data manipulation'!$C$23:$O$39,MATCH($V18,'Data manipulation'!$B$23:$B$39,0),MATCH($X18,'Data manipulation'!$C$22:$O$22,0))/1000,0)*SUMIFS('Regional split'!$F$4:$F$6,'Regional split'!$B$4:$B$6,AA$3)*SUMIFS('Data manipulation'!$V$39:$V$42,'Data manipulation'!$X$39:$X$42,$E18,'Data manipulation'!$Y$39:$Y$42,$D18)</f>
        <v>0</v>
      </c>
      <c r="AB18" s="444">
        <f t="shared" si="6"/>
        <v>0</v>
      </c>
      <c r="AC18" s="251">
        <f t="shared" si="0"/>
        <v>0</v>
      </c>
      <c r="AD18" s="445">
        <f t="shared" si="1"/>
        <v>0</v>
      </c>
      <c r="AV18" s="260"/>
      <c r="BA18" s="252"/>
    </row>
    <row r="19" spans="2:53" ht="15" customHeight="1">
      <c r="B19" s="233" t="str">
        <f>Processes!D66</f>
        <v>CHTRDWPEE1</v>
      </c>
      <c r="C19" s="233" t="str">
        <f>Processes!E66</f>
        <v>Residential Heating Technology Rural Detached - Wood pellets - Existing 1</v>
      </c>
      <c r="D19" s="233" t="s">
        <v>715</v>
      </c>
      <c r="E19" s="233" t="s">
        <v>102</v>
      </c>
      <c r="F19" s="230" t="str">
        <f>Commodities!$C$23</f>
        <v>COMWPE</v>
      </c>
      <c r="G19" s="259" t="str">
        <f>Commodities!$C$44</f>
        <v>COMHRDB</v>
      </c>
      <c r="H19" s="230">
        <v>2011</v>
      </c>
      <c r="I19" s="250">
        <f t="shared" si="11"/>
        <v>0</v>
      </c>
      <c r="J19" s="250">
        <f t="shared" si="12"/>
        <v>0</v>
      </c>
      <c r="K19" s="250">
        <f t="shared" si="13"/>
        <v>0</v>
      </c>
      <c r="L19" s="463">
        <v>0.67</v>
      </c>
      <c r="M19" s="463">
        <v>0.67</v>
      </c>
      <c r="N19" s="463">
        <v>0.67</v>
      </c>
      <c r="O19" s="244">
        <f>31.536/1000</f>
        <v>3.1536000000000002E-2</v>
      </c>
      <c r="P19" s="459">
        <v>0.15</v>
      </c>
      <c r="Q19" s="245">
        <v>20</v>
      </c>
      <c r="R19" s="227">
        <v>1.05</v>
      </c>
      <c r="T19" s="268">
        <f t="shared" si="5"/>
        <v>0</v>
      </c>
      <c r="U19" s="268"/>
      <c r="W19" s="254" t="s">
        <v>866</v>
      </c>
      <c r="X19" s="246">
        <v>2011</v>
      </c>
      <c r="Y19" s="433">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5">
        <f>_xlfn.IFNA(INDEX('Data manipulation'!$C$23:$O$39,MATCH($V19,'Data manipulation'!$B$23:$B$39,0),MATCH($X19,'Data manipulation'!$C$22:$O$22,0))/1000,0)*SUMIFS('Regional split'!$F$4:$F$6,'Regional split'!$B$4:$B$6,AA$3)*SUMIFS('Data manipulation'!$V$39:$V$42,'Data manipulation'!$X$39:$X$42,$E19,'Data manipulation'!$Y$39:$Y$42,$D19)</f>
        <v>0</v>
      </c>
      <c r="AB19" s="444">
        <f t="shared" si="6"/>
        <v>0</v>
      </c>
      <c r="AC19" s="251">
        <f t="shared" si="0"/>
        <v>0</v>
      </c>
      <c r="AD19" s="445">
        <f t="shared" si="1"/>
        <v>0</v>
      </c>
      <c r="AV19" s="260"/>
      <c r="BA19" s="253"/>
    </row>
    <row r="20" spans="2:53" ht="15" customHeight="1">
      <c r="B20" s="233" t="str">
        <f>Processes!D67</f>
        <v>CHTRDFIWE1</v>
      </c>
      <c r="C20" s="233" t="str">
        <f>Processes!E67</f>
        <v>Residential Heating Technology Rural Detached - Fire wood - Existing 1</v>
      </c>
      <c r="D20" s="233" t="s">
        <v>715</v>
      </c>
      <c r="E20" s="233" t="s">
        <v>102</v>
      </c>
      <c r="F20" s="230" t="str">
        <f>Commodities!$C$24</f>
        <v>COMFIW</v>
      </c>
      <c r="G20" s="259" t="str">
        <f>Commodities!$C$44</f>
        <v>COMHRDB</v>
      </c>
      <c r="H20" s="230">
        <v>2011</v>
      </c>
      <c r="I20" s="250">
        <f t="shared" si="11"/>
        <v>2934.5</v>
      </c>
      <c r="J20" s="250">
        <f t="shared" si="12"/>
        <v>0</v>
      </c>
      <c r="K20" s="250">
        <f t="shared" si="13"/>
        <v>0</v>
      </c>
      <c r="L20" s="463">
        <v>0.67</v>
      </c>
      <c r="M20" s="463">
        <v>0.67</v>
      </c>
      <c r="N20" s="463">
        <v>0.67</v>
      </c>
      <c r="O20" s="244">
        <f>31.536/1000</f>
        <v>3.1536000000000002E-2</v>
      </c>
      <c r="P20" s="459">
        <v>0.15</v>
      </c>
      <c r="Q20" s="245">
        <v>20</v>
      </c>
      <c r="R20" s="227">
        <v>1.05</v>
      </c>
      <c r="T20" s="268">
        <f t="shared" si="5"/>
        <v>20.718445970149254</v>
      </c>
      <c r="U20" s="268"/>
      <c r="V20" s="592" t="str">
        <f>'Data manipulation'!$B$31</f>
        <v>Primary solid biofuels</v>
      </c>
      <c r="W20" s="254" t="s">
        <v>177</v>
      </c>
      <c r="X20" s="246">
        <v>2011</v>
      </c>
      <c r="Y20" s="433">
        <f>_xlfn.IFNA(INDEX('Data manipulation'!$C$23:$O$39,MATCH($V20,'Data manipulation'!$B$23:$B$39,0),MATCH($X20,'Data manipulation'!$C$22:$O$22,0))/1000,0)*SUMIFS('Regional split'!$F$4:$F$6,'Regional split'!$B$4:$B$6,Y$3)*SUMIFS('Data manipulation'!$V$39:$V$42,'Data manipulation'!$X$39:$X$42,$E20,'Data manipulation'!$Y$39:$Y$42,$D20)</f>
        <v>19.731626320254648</v>
      </c>
      <c r="Z20" s="270">
        <f>_xlfn.IFNA(INDEX('Data manipulation'!$C$23:$O$39,MATCH($V20,'Data manipulation'!$B$23:$B$39,0),MATCH($X20,'Data manipulation'!$C$22:$O$22,0))/1000,0)*SUMIFS('Regional split'!$F$4:$F$6,'Regional split'!$B$4:$B$6,Z$3)*SUMIFS('Data manipulation'!$V$39:$V$42,'Data manipulation'!$X$39:$X$42,$E20,'Data manipulation'!$Y$39:$Y$42,$D20)</f>
        <v>0</v>
      </c>
      <c r="AA20" s="455">
        <f>_xlfn.IFNA(INDEX('Data manipulation'!$C$23:$O$39,MATCH($V20,'Data manipulation'!$B$23:$B$39,0),MATCH($X20,'Data manipulation'!$C$22:$O$22,0))/1000,0)*SUMIFS('Regional split'!$F$4:$F$6,'Regional split'!$B$4:$B$6,AA$3)*SUMIFS('Data manipulation'!$V$39:$V$42,'Data manipulation'!$X$39:$X$42,$E20,'Data manipulation'!$Y$39:$Y$42,$D20)</f>
        <v>0</v>
      </c>
      <c r="AB20" s="444">
        <f t="shared" si="6"/>
        <v>13.220189634570614</v>
      </c>
      <c r="AC20" s="251">
        <f t="shared" si="0"/>
        <v>0</v>
      </c>
      <c r="AD20" s="445">
        <f t="shared" si="1"/>
        <v>0</v>
      </c>
      <c r="AV20" s="260"/>
      <c r="BA20" s="253"/>
    </row>
    <row r="21" spans="2:53" ht="15" customHeight="1">
      <c r="B21" s="233" t="str">
        <f>Processes!D68</f>
        <v>CHTRDCOAE1</v>
      </c>
      <c r="C21" s="233" t="str">
        <f>Processes!E68</f>
        <v>Residential Heating Technology Rural Detached - Coal - Existing 1</v>
      </c>
      <c r="D21" s="233" t="s">
        <v>715</v>
      </c>
      <c r="E21" s="233" t="s">
        <v>102</v>
      </c>
      <c r="F21" s="230" t="str">
        <f>Commodities!$C$25</f>
        <v>COMCOA</v>
      </c>
      <c r="G21" s="259" t="str">
        <f>Commodities!$C$44</f>
        <v>COMHRDB</v>
      </c>
      <c r="H21" s="230">
        <v>2011</v>
      </c>
      <c r="I21" s="250">
        <f t="shared" si="11"/>
        <v>282</v>
      </c>
      <c r="J21" s="250">
        <f t="shared" si="12"/>
        <v>0</v>
      </c>
      <c r="K21" s="250">
        <f t="shared" si="13"/>
        <v>0</v>
      </c>
      <c r="L21" s="463">
        <v>0.72</v>
      </c>
      <c r="M21" s="463">
        <v>0.72</v>
      </c>
      <c r="N21" s="463">
        <v>0.72</v>
      </c>
      <c r="O21" s="244">
        <f t="shared" si="7"/>
        <v>3.1536000000000002E-2</v>
      </c>
      <c r="P21" s="459">
        <v>0.15</v>
      </c>
      <c r="Q21" s="245">
        <v>20</v>
      </c>
      <c r="R21" s="227">
        <v>1.05</v>
      </c>
      <c r="T21" s="268">
        <f t="shared" si="5"/>
        <v>1.8527400000000001</v>
      </c>
      <c r="U21" s="268"/>
      <c r="V21" s="592" t="str">
        <f>'Data manipulation'!$B$23</f>
        <v>Solid fossil fuels, peat, peat products, oil shale and oil sands</v>
      </c>
      <c r="W21" s="254" t="s">
        <v>863</v>
      </c>
      <c r="X21" s="246">
        <v>2011</v>
      </c>
      <c r="Y21" s="433">
        <f>_xlfn.IFNA(INDEX('Data manipulation'!$C$23:$O$39,MATCH($V21,'Data manipulation'!$B$23:$B$39,0),MATCH($X21,'Data manipulation'!$C$22:$O$22,0))/1000,0)*SUMIFS('Regional split'!$F$4:$F$6,'Regional split'!$B$4:$B$6,Y$3)*SUMIFS('Data manipulation'!$V$39:$V$42,'Data manipulation'!$X$39:$X$42,$E21,'Data manipulation'!$Y$39:$Y$42,$D21)</f>
        <v>1.7640852119999999</v>
      </c>
      <c r="Z21" s="270">
        <f>_xlfn.IFNA(INDEX('Data manipulation'!$C$23:$O$39,MATCH($V21,'Data manipulation'!$B$23:$B$39,0),MATCH($X21,'Data manipulation'!$C$22:$O$22,0))/1000,0)*SUMIFS('Regional split'!$F$4:$F$6,'Regional split'!$B$4:$B$6,Z$3)*SUMIFS('Data manipulation'!$V$39:$V$42,'Data manipulation'!$X$39:$X$42,$E21,'Data manipulation'!$Y$39:$Y$42,$D21)</f>
        <v>0</v>
      </c>
      <c r="AA21" s="455">
        <f>_xlfn.IFNA(INDEX('Data manipulation'!$C$23:$O$39,MATCH($V21,'Data manipulation'!$B$23:$B$39,0),MATCH($X21,'Data manipulation'!$C$22:$O$22,0))/1000,0)*SUMIFS('Regional split'!$F$4:$F$6,'Regional split'!$B$4:$B$6,AA$3)*SUMIFS('Data manipulation'!$V$39:$V$42,'Data manipulation'!$X$39:$X$42,$E21,'Data manipulation'!$Y$39:$Y$42,$D21)</f>
        <v>0</v>
      </c>
      <c r="AB21" s="444">
        <f t="shared" si="6"/>
        <v>1.2701413526399998</v>
      </c>
      <c r="AC21" s="251">
        <f t="shared" si="0"/>
        <v>0</v>
      </c>
      <c r="AD21" s="445">
        <f t="shared" si="1"/>
        <v>0</v>
      </c>
      <c r="AV21" s="260"/>
      <c r="BA21" s="252"/>
    </row>
    <row r="22" spans="2:53" ht="15" customHeight="1">
      <c r="B22" s="233" t="str">
        <f>Processes!D69</f>
        <v>CHTRDSOLE1</v>
      </c>
      <c r="C22" s="233" t="str">
        <f>Processes!E69</f>
        <v>Residential Heating Technology Rural Detached - Solar - Existing 1</v>
      </c>
      <c r="D22" s="233" t="s">
        <v>715</v>
      </c>
      <c r="E22" s="233" t="s">
        <v>102</v>
      </c>
      <c r="F22" s="230" t="str">
        <f>Commodities!$C$27</f>
        <v>COMSOL</v>
      </c>
      <c r="G22" s="259" t="str">
        <f>Commodities!$C$44</f>
        <v>COMHRDB</v>
      </c>
      <c r="H22" s="230">
        <v>2011</v>
      </c>
      <c r="I22" s="250">
        <f t="shared" si="11"/>
        <v>14.6</v>
      </c>
      <c r="J22" s="250">
        <f t="shared" si="12"/>
        <v>0</v>
      </c>
      <c r="K22" s="250">
        <f t="shared" si="13"/>
        <v>0</v>
      </c>
      <c r="L22" s="463">
        <v>1</v>
      </c>
      <c r="M22" s="463">
        <v>1</v>
      </c>
      <c r="N22" s="463">
        <v>1</v>
      </c>
      <c r="O22" s="244">
        <f t="shared" si="7"/>
        <v>3.1536000000000002E-2</v>
      </c>
      <c r="P22" s="459">
        <v>0.15</v>
      </c>
      <c r="Q22" s="245">
        <v>20</v>
      </c>
      <c r="R22" s="227">
        <v>1.05</v>
      </c>
      <c r="T22" s="268">
        <f t="shared" si="5"/>
        <v>6.9063840000000001E-2</v>
      </c>
      <c r="U22" s="268"/>
      <c r="V22" s="592" t="str">
        <f>'Data manipulation'!$B$29</f>
        <v>Solar thermal</v>
      </c>
      <c r="W22" s="254" t="s">
        <v>169</v>
      </c>
      <c r="X22" s="246">
        <v>2011</v>
      </c>
      <c r="Y22" s="433">
        <f>_xlfn.IFNA(INDEX('Data manipulation'!$C$23:$O$39,MATCH($V22,'Data manipulation'!$B$23:$B$39,0),MATCH($X22,'Data manipulation'!$C$22:$O$22,0))/1000,0)*SUMIFS('Regional split'!$F$4:$F$6,'Regional split'!$B$4:$B$6,Y$3)*SUMIFS('Data manipulation'!$V$39:$V$42,'Data manipulation'!$X$39:$X$42,$E22,'Data manipulation'!$Y$39:$Y$42,$D22)</f>
        <v>6.5340703999999999E-2</v>
      </c>
      <c r="Z22" s="270">
        <f>_xlfn.IFNA(INDEX('Data manipulation'!$C$23:$O$39,MATCH($V22,'Data manipulation'!$B$23:$B$39,0),MATCH($X22,'Data manipulation'!$C$22:$O$22,0))/1000,0)*SUMIFS('Regional split'!$F$4:$F$6,'Regional split'!$B$4:$B$6,Z$3)*SUMIFS('Data manipulation'!$V$39:$V$42,'Data manipulation'!$X$39:$X$42,$E22,'Data manipulation'!$Y$39:$Y$42,$D22)</f>
        <v>0</v>
      </c>
      <c r="AA22" s="455">
        <f>_xlfn.IFNA(INDEX('Data manipulation'!$C$23:$O$39,MATCH($V22,'Data manipulation'!$B$23:$B$39,0),MATCH($X22,'Data manipulation'!$C$22:$O$22,0))/1000,0)*SUMIFS('Regional split'!$F$4:$F$6,'Regional split'!$B$4:$B$6,AA$3)*SUMIFS('Data manipulation'!$V$39:$V$42,'Data manipulation'!$X$39:$X$42,$E22,'Data manipulation'!$Y$39:$Y$42,$D22)</f>
        <v>0</v>
      </c>
      <c r="AB22" s="444">
        <f t="shared" si="6"/>
        <v>6.5340703999999999E-2</v>
      </c>
      <c r="AC22" s="251">
        <f t="shared" si="0"/>
        <v>0</v>
      </c>
      <c r="AD22" s="445">
        <f t="shared" si="1"/>
        <v>0</v>
      </c>
      <c r="AV22" s="260"/>
      <c r="BA22" s="252"/>
    </row>
    <row r="23" spans="2:53" ht="15" customHeight="1">
      <c r="B23" s="233" t="str">
        <f>Processes!D70</f>
        <v>CHTRDGEOE1</v>
      </c>
      <c r="C23" s="233" t="str">
        <f>Processes!E70</f>
        <v>Residential Heating Technology Rural Detached - Geothermal - Existing 1</v>
      </c>
      <c r="D23" s="233" t="s">
        <v>715</v>
      </c>
      <c r="E23" s="233" t="s">
        <v>102</v>
      </c>
      <c r="F23" s="230" t="str">
        <f>Commodities!$C$28</f>
        <v>COMGEO</v>
      </c>
      <c r="G23" s="230" t="str">
        <f>Commodities!$C$44</f>
        <v>COMHRDB</v>
      </c>
      <c r="H23" s="230">
        <v>2011</v>
      </c>
      <c r="I23" s="250">
        <f t="shared" si="11"/>
        <v>182.29999999999998</v>
      </c>
      <c r="J23" s="250">
        <f t="shared" si="12"/>
        <v>0</v>
      </c>
      <c r="K23" s="250">
        <f t="shared" si="13"/>
        <v>0</v>
      </c>
      <c r="L23" s="463">
        <v>1</v>
      </c>
      <c r="M23" s="463">
        <v>1</v>
      </c>
      <c r="N23" s="463">
        <v>1</v>
      </c>
      <c r="O23" s="244">
        <f t="shared" si="7"/>
        <v>3.1536000000000002E-2</v>
      </c>
      <c r="P23" s="459">
        <v>0.15</v>
      </c>
      <c r="Q23" s="245">
        <v>20</v>
      </c>
      <c r="R23" s="227">
        <v>1.05</v>
      </c>
      <c r="T23" s="268">
        <f t="shared" ref="T23" si="14">SUM(I23:K23)*O23*P23/L23</f>
        <v>0.86235191999999994</v>
      </c>
      <c r="U23" s="268"/>
      <c r="V23" s="592" t="str">
        <f>'Data manipulation'!$B$38</f>
        <v>Geothermal</v>
      </c>
      <c r="W23" s="254" t="s">
        <v>991</v>
      </c>
      <c r="X23" s="246">
        <v>2011</v>
      </c>
      <c r="Y23" s="433">
        <f>_xlfn.IFNA(INDEX('Data manipulation'!$C$23:$O$39,MATCH($V23,'Data manipulation'!$B$23:$B$39,0),MATCH($X23,'Data manipulation'!$C$22:$O$22,0))/1000,0)*SUMIFS('Regional split'!$F$4:$F$6,'Regional split'!$B$4:$B$6,Y$3)*SUMIFS('Data manipulation'!$V$39:$V$42,'Data manipulation'!$X$39:$X$42,$E23,'Data manipulation'!$Y$39:$Y$42,$D23)</f>
        <v>0.82098800000000005</v>
      </c>
      <c r="Z23" s="270">
        <f>_xlfn.IFNA(INDEX('Data manipulation'!$C$23:$O$39,MATCH($V23,'Data manipulation'!$B$23:$B$39,0),MATCH($X23,'Data manipulation'!$C$22:$O$22,0))/1000,0)*SUMIFS('Regional split'!$F$4:$F$6,'Regional split'!$B$4:$B$6,Z$3)*SUMIFS('Data manipulation'!$V$39:$V$42,'Data manipulation'!$X$39:$X$42,$E23,'Data manipulation'!$Y$39:$Y$42,$D23)</f>
        <v>0</v>
      </c>
      <c r="AA23" s="455">
        <f>_xlfn.IFNA(INDEX('Data manipulation'!$C$23:$O$39,MATCH($V23,'Data manipulation'!$B$23:$B$39,0),MATCH($X23,'Data manipulation'!$C$22:$O$22,0))/1000,0)*SUMIFS('Regional split'!$F$4:$F$6,'Regional split'!$B$4:$B$6,AA$3)*SUMIFS('Data manipulation'!$V$39:$V$42,'Data manipulation'!$X$39:$X$42,$E23,'Data manipulation'!$Y$39:$Y$42,$D23)</f>
        <v>0</v>
      </c>
      <c r="AB23" s="444">
        <f t="shared" ref="AB23" si="15">Y23*L23</f>
        <v>0.82098800000000005</v>
      </c>
      <c r="AC23" s="251">
        <f t="shared" ref="AC23" si="16">Z23*M23</f>
        <v>0</v>
      </c>
      <c r="AD23" s="445">
        <f t="shared" ref="AD23" si="17">AA23*N23</f>
        <v>0</v>
      </c>
      <c r="BA23" s="252"/>
    </row>
    <row r="24" spans="2:53" ht="15" customHeight="1">
      <c r="B24" s="233" t="str">
        <f>Processes!D71</f>
        <v>CHTRDELCHE1</v>
      </c>
      <c r="C24" s="233" t="str">
        <f>Processes!E71</f>
        <v>Residential Heating Technology Rural Detached - Electricity Heating - Existing 1</v>
      </c>
      <c r="D24" s="233" t="s">
        <v>715</v>
      </c>
      <c r="E24" s="233" t="s">
        <v>102</v>
      </c>
      <c r="F24" s="230" t="str">
        <f>Commodities!$C$29</f>
        <v>COMELCH</v>
      </c>
      <c r="G24" s="259" t="str">
        <f>Commodities!$C$44</f>
        <v>COMHRDB</v>
      </c>
      <c r="H24" s="230">
        <v>2011</v>
      </c>
      <c r="I24" s="250">
        <f t="shared" si="11"/>
        <v>2800.2999999999997</v>
      </c>
      <c r="J24" s="250">
        <f t="shared" si="12"/>
        <v>0</v>
      </c>
      <c r="K24" s="250">
        <f t="shared" si="13"/>
        <v>0</v>
      </c>
      <c r="L24" s="463">
        <v>1</v>
      </c>
      <c r="M24" s="463">
        <v>1</v>
      </c>
      <c r="N24" s="463">
        <v>1</v>
      </c>
      <c r="O24" s="244">
        <f t="shared" si="7"/>
        <v>3.1536000000000002E-2</v>
      </c>
      <c r="P24" s="459">
        <v>0.15</v>
      </c>
      <c r="Q24" s="245">
        <v>30</v>
      </c>
      <c r="R24" s="227">
        <v>1.05</v>
      </c>
      <c r="T24" s="268">
        <f t="shared" si="5"/>
        <v>13.24653912</v>
      </c>
      <c r="U24" s="268"/>
      <c r="V24" s="592" t="str">
        <f>'Data manipulation'!$B$33</f>
        <v>Electricity</v>
      </c>
      <c r="W24" s="254" t="s">
        <v>170</v>
      </c>
      <c r="X24" s="246">
        <v>2011</v>
      </c>
      <c r="Y24" s="433">
        <f>_xlfn.IFNA(INDEX('Data manipulation'!$C$23:$O$39,MATCH($V24,'Data manipulation'!$B$23:$B$39,0),MATCH($X24,'Data manipulation'!$C$22:$O$22,0))/1000,0)*SUMIFS('Regional split'!$F$4:$F$6,'Regional split'!$B$4:$B$6,Y$3)*SUMIFS('Data manipulation'!$V$39:$V$42,'Data manipulation'!$X$39:$X$42,$E24,'Data manipulation'!$Y$39:$Y$42,$D24)</f>
        <v>12.615742173128622</v>
      </c>
      <c r="Z24" s="270">
        <f>_xlfn.IFNA(INDEX('Data manipulation'!$C$23:$O$39,MATCH($V24,'Data manipulation'!$B$23:$B$39,0),MATCH($X24,'Data manipulation'!$C$22:$O$22,0))/1000,0)*SUMIFS('Regional split'!$F$4:$F$6,'Regional split'!$B$4:$B$6,Z$3)*SUMIFS('Data manipulation'!$V$39:$V$42,'Data manipulation'!$X$39:$X$42,$E24,'Data manipulation'!$Y$39:$Y$42,$D24)</f>
        <v>0</v>
      </c>
      <c r="AA24" s="455">
        <f>_xlfn.IFNA(INDEX('Data manipulation'!$C$23:$O$39,MATCH($V24,'Data manipulation'!$B$23:$B$39,0),MATCH($X24,'Data manipulation'!$C$22:$O$22,0))/1000,0)*SUMIFS('Regional split'!$F$4:$F$6,'Regional split'!$B$4:$B$6,AA$3)*SUMIFS('Data manipulation'!$V$39:$V$42,'Data manipulation'!$X$39:$X$42,$E24,'Data manipulation'!$Y$39:$Y$42,$D24)</f>
        <v>0</v>
      </c>
      <c r="AB24" s="444">
        <f t="shared" si="6"/>
        <v>12.615742173128622</v>
      </c>
      <c r="AC24" s="251">
        <f t="shared" si="0"/>
        <v>0</v>
      </c>
      <c r="AD24" s="445">
        <f t="shared" si="1"/>
        <v>0</v>
      </c>
      <c r="AV24" s="260"/>
      <c r="BA24" s="252"/>
    </row>
    <row r="25" spans="2:53" ht="15" customHeight="1">
      <c r="B25" s="233" t="str">
        <f>Processes!D72</f>
        <v>CHTRDELCHE2</v>
      </c>
      <c r="C25" s="233" t="str">
        <f>Processes!E72</f>
        <v>Residential Heating Technology Rural Detached - Electricity Heating - Existing 2</v>
      </c>
      <c r="D25" s="233" t="s">
        <v>715</v>
      </c>
      <c r="E25" s="233" t="s">
        <v>102</v>
      </c>
      <c r="F25" s="230" t="str">
        <f>Commodities!$C$29</f>
        <v>COMELCH</v>
      </c>
      <c r="G25" s="259" t="str">
        <f>Commodities!$C$44</f>
        <v>COMHRDB</v>
      </c>
      <c r="H25" s="230">
        <v>2011</v>
      </c>
      <c r="I25" s="250">
        <f t="shared" si="11"/>
        <v>329.3</v>
      </c>
      <c r="J25" s="250">
        <f t="shared" si="12"/>
        <v>0</v>
      </c>
      <c r="K25" s="250">
        <f t="shared" si="13"/>
        <v>0</v>
      </c>
      <c r="L25" s="463">
        <v>2.3149999999999999</v>
      </c>
      <c r="M25" s="463">
        <v>2.3149999999999999</v>
      </c>
      <c r="N25" s="463">
        <v>2.3149999999999999</v>
      </c>
      <c r="O25" s="244">
        <f t="shared" si="7"/>
        <v>3.1536000000000002E-2</v>
      </c>
      <c r="P25" s="459">
        <v>0.15</v>
      </c>
      <c r="Q25" s="245">
        <v>30</v>
      </c>
      <c r="R25" s="227">
        <v>1.05</v>
      </c>
      <c r="T25" s="268">
        <f t="shared" si="5"/>
        <v>0.67288152051835859</v>
      </c>
      <c r="U25" s="268"/>
      <c r="V25" s="592" t="str">
        <f>'Data manipulation'!$B$30</f>
        <v>Ambient heat (heat pumps)</v>
      </c>
      <c r="W25" s="254" t="s">
        <v>171</v>
      </c>
      <c r="X25" s="246">
        <v>2011</v>
      </c>
      <c r="Y25" s="433">
        <f>_xlfn.IFNA(INDEX('Data manipulation'!$C$23:$O$39,MATCH($V25,'Data manipulation'!$B$23:$B$39,0),MATCH($X25,'Data manipulation'!$C$22:$O$22,0))/1000,0)*SUMIFS('Regional split'!$F$4:$F$6,'Regional split'!$B$4:$B$6,Y$3)*SUMIFS('Data manipulation'!$V$39:$V$42,'Data manipulation'!$X$39:$X$42,$E25,'Data manipulation'!$Y$39:$Y$42,$D25)</f>
        <v>0.6407674000000001</v>
      </c>
      <c r="Z25" s="270">
        <f>_xlfn.IFNA(INDEX('Data manipulation'!$C$23:$O$39,MATCH($V25,'Data manipulation'!$B$23:$B$39,0),MATCH($X25,'Data manipulation'!$C$22:$O$22,0))/1000,0)*SUMIFS('Regional split'!$F$4:$F$6,'Regional split'!$B$4:$B$6,Z$3)*SUMIFS('Data manipulation'!$V$39:$V$42,'Data manipulation'!$X$39:$X$42,$E25,'Data manipulation'!$Y$39:$Y$42,$D25)</f>
        <v>0</v>
      </c>
      <c r="AA25" s="455">
        <f>_xlfn.IFNA(INDEX('Data manipulation'!$C$23:$O$39,MATCH($V25,'Data manipulation'!$B$23:$B$39,0),MATCH($X25,'Data manipulation'!$C$22:$O$22,0))/1000,0)*SUMIFS('Regional split'!$F$4:$F$6,'Regional split'!$B$4:$B$6,AA$3)*SUMIFS('Data manipulation'!$V$39:$V$42,'Data manipulation'!$X$39:$X$42,$E25,'Data manipulation'!$Y$39:$Y$42,$D25)</f>
        <v>0</v>
      </c>
      <c r="AB25" s="444">
        <f t="shared" si="6"/>
        <v>1.4833765310000002</v>
      </c>
      <c r="AC25" s="251">
        <f t="shared" si="0"/>
        <v>0</v>
      </c>
      <c r="AD25" s="445">
        <f t="shared" si="1"/>
        <v>0</v>
      </c>
      <c r="AV25" s="260"/>
      <c r="BA25" s="252"/>
    </row>
    <row r="26" spans="2:53" ht="15" customHeight="1">
      <c r="B26" s="233" t="str">
        <f>Processes!D73</f>
        <v>CHTRDHCEE1</v>
      </c>
      <c r="C26" s="233" t="str">
        <f>Processes!E73</f>
        <v>Residential Heating Technology Rural Detached - District heating Central - Existing 1</v>
      </c>
      <c r="D26" s="233" t="s">
        <v>715</v>
      </c>
      <c r="E26" s="233" t="s">
        <v>102</v>
      </c>
      <c r="F26" s="230" t="str">
        <f>Commodities!$C$36</f>
        <v>COMHDE</v>
      </c>
      <c r="G26" s="261" t="str">
        <f>Commodities!$C$44</f>
        <v>COMHRDB</v>
      </c>
      <c r="H26" s="230">
        <v>2011</v>
      </c>
      <c r="I26" s="568">
        <v>0</v>
      </c>
      <c r="J26" s="568">
        <v>0</v>
      </c>
      <c r="K26" s="568">
        <v>0</v>
      </c>
      <c r="L26" s="463">
        <v>0.98</v>
      </c>
      <c r="M26" s="463">
        <v>0.98</v>
      </c>
      <c r="N26" s="463">
        <v>0.98</v>
      </c>
      <c r="O26" s="244">
        <f t="shared" si="7"/>
        <v>3.1536000000000002E-2</v>
      </c>
      <c r="P26" s="459">
        <v>0.15</v>
      </c>
      <c r="Q26" s="245">
        <v>30</v>
      </c>
      <c r="R26" s="227">
        <v>1.05</v>
      </c>
      <c r="T26" s="268">
        <f t="shared" si="5"/>
        <v>0</v>
      </c>
      <c r="U26" s="268"/>
      <c r="V26" s="592" t="str">
        <f>'Data manipulation'!$B$34</f>
        <v>Heat</v>
      </c>
      <c r="W26" s="254" t="s">
        <v>172</v>
      </c>
      <c r="X26" s="246">
        <v>2011</v>
      </c>
      <c r="Y26" s="433">
        <f>_xlfn.IFNA(INDEX('Data manipulation'!$C$23:$O$39,MATCH($V26,'Data manipulation'!$B$23:$B$39,0),MATCH($X26,'Data manipulation'!$C$22:$O$22,0))/1000,0)*SUMIFS('Regional split'!$F$4:$F$6,'Regional split'!$B$4:$B$6,Y$3)*SUMIFS('Data manipulation'!$V$39:$V$42,'Data manipulation'!$X$39:$X$42,$E26,'Data manipulation'!$Y$39:$Y$42,$D26)</f>
        <v>33.821907293313778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4">
        <f t="shared" si="6"/>
        <v>33.1454691474475</v>
      </c>
      <c r="AC26" s="251">
        <f t="shared" si="0"/>
        <v>0</v>
      </c>
      <c r="AD26" s="445">
        <f t="shared" si="1"/>
        <v>0</v>
      </c>
      <c r="AV26" s="260"/>
      <c r="BA26" s="253"/>
    </row>
    <row r="27" spans="2:53" ht="15" customHeight="1" thickBot="1">
      <c r="B27" s="552" t="str">
        <f>Processes!D74</f>
        <v>CHTRDLPGE1</v>
      </c>
      <c r="C27" s="424" t="str">
        <f>Processes!E74</f>
        <v>Residential Heating Technology Rural Detached - LPG - Existing 1</v>
      </c>
      <c r="D27" s="532" t="s">
        <v>715</v>
      </c>
      <c r="E27" s="532" t="s">
        <v>102</v>
      </c>
      <c r="F27" s="533" t="str">
        <f>F16</f>
        <v>COMLPG</v>
      </c>
      <c r="G27" s="425" t="str">
        <f>G25</f>
        <v>COMHRDB</v>
      </c>
      <c r="H27" s="230">
        <v>2011</v>
      </c>
      <c r="I27" s="297">
        <f t="shared" ref="I27" si="18">ROUNDUP(AB27/($O27*$P27)*$R27,1)</f>
        <v>1235.6999999999998</v>
      </c>
      <c r="J27" s="297">
        <f t="shared" ref="J27" si="19">ROUNDUP(AC27/($O27*$P27)*$R27,1)</f>
        <v>0</v>
      </c>
      <c r="K27" s="297">
        <f t="shared" ref="K27" si="20">ROUNDUP(AD27/($O27*$P27)*$R27,1)</f>
        <v>0</v>
      </c>
      <c r="L27" s="465">
        <v>0.98</v>
      </c>
      <c r="M27" s="465">
        <v>0.98</v>
      </c>
      <c r="N27" s="465">
        <v>0.98</v>
      </c>
      <c r="O27" s="426">
        <f t="shared" si="7"/>
        <v>3.1536000000000002E-2</v>
      </c>
      <c r="P27" s="461">
        <v>0.15</v>
      </c>
      <c r="Q27" s="427">
        <v>30</v>
      </c>
      <c r="R27" s="227">
        <v>1.05</v>
      </c>
      <c r="T27" s="268">
        <f t="shared" si="5"/>
        <v>5.9646482448979583</v>
      </c>
      <c r="U27" s="268"/>
      <c r="V27" s="593" t="str">
        <f>'Data manipulation'!$B$25</f>
        <v>Liquefied natural gas</v>
      </c>
      <c r="W27" s="428" t="s">
        <v>771</v>
      </c>
      <c r="X27" s="246">
        <v>2011</v>
      </c>
      <c r="Y27" s="435">
        <f>_xlfn.IFNA(INDEX('Data manipulation'!$C$23:$O$39,MATCH($V27,'Data manipulation'!$B$23:$B$39,0),MATCH($X27,'Data manipulation'!$C$22:$O$22,0))/1000,0)*SUMIFS('Regional split'!$F$4:$F$6,'Regional split'!$B$4:$B$6,Y$3)*SUMIFS('Data manipulation'!$V$39:$V$42,'Data manipulation'!$X$39:$X$42,$E27,'Data manipulation'!$Y$39:$Y$42,$D27)</f>
        <v>5.6803707570744768</v>
      </c>
      <c r="Z27" s="429">
        <f>_xlfn.IFNA(INDEX('Data manipulation'!$C$23:$O$39,MATCH($V27,'Data manipulation'!$B$23:$B$39,0),MATCH($X27,'Data manipulation'!$C$22:$O$22,0))/1000,0)*SUMIFS('Regional split'!$F$4:$F$6,'Regional split'!$B$4:$B$6,Z$3)*SUMIFS('Data manipulation'!$V$39:$V$42,'Data manipulation'!$X$39:$X$42,$E27,'Data manipulation'!$Y$39:$Y$42,$D27)</f>
        <v>0</v>
      </c>
      <c r="AA27" s="457">
        <f>_xlfn.IFNA(INDEX('Data manipulation'!$C$23:$O$39,MATCH($V27,'Data manipulation'!$B$23:$B$39,0),MATCH($X27,'Data manipulation'!$C$22:$O$22,0))/1000,0)*SUMIFS('Regional split'!$F$4:$F$6,'Regional split'!$B$4:$B$6,AA$3)*SUMIFS('Data manipulation'!$V$39:$V$42,'Data manipulation'!$X$39:$X$42,$E27,'Data manipulation'!$Y$39:$Y$42,$D27)</f>
        <v>0</v>
      </c>
      <c r="AB27" s="449">
        <f t="shared" si="6"/>
        <v>5.5667633419329876</v>
      </c>
      <c r="AC27" s="430">
        <f t="shared" si="0"/>
        <v>0</v>
      </c>
      <c r="AD27" s="450">
        <f t="shared" si="1"/>
        <v>0</v>
      </c>
      <c r="AV27" s="260"/>
      <c r="BA27" s="252"/>
    </row>
    <row r="28" spans="2:53" ht="15" customHeight="1">
      <c r="B28" s="227" t="str">
        <f>Processes!D75</f>
        <v>CHTUMNGAE1</v>
      </c>
      <c r="C28" s="227" t="str">
        <f>Processes!E75</f>
        <v>Residential Heating Technology Urban Multi - Natural Gas - Existing 1</v>
      </c>
      <c r="D28" s="227" t="s">
        <v>714</v>
      </c>
      <c r="E28" s="227" t="s">
        <v>759</v>
      </c>
      <c r="F28" s="230" t="str">
        <f>Commodities!$C$18&amp;","&amp;Commodities!$C$37</f>
        <v>COMNGA,COMSNG</v>
      </c>
      <c r="G28" s="230" t="str">
        <f>Commodities!$C$45</f>
        <v>COMHUMB</v>
      </c>
      <c r="H28" s="230">
        <v>2011</v>
      </c>
      <c r="I28" s="250">
        <f>ROUNDUP(AB28/($O28*$P28)*$R28,1)</f>
        <v>12182.1</v>
      </c>
      <c r="J28" s="250">
        <f>ROUNDUP(AC28/($O28*$P28)*$R28,1)</f>
        <v>0</v>
      </c>
      <c r="K28" s="250">
        <f>ROUNDUP(AD28/($O28*$P28)*$R28,1)</f>
        <v>0</v>
      </c>
      <c r="L28" s="462">
        <v>0.72</v>
      </c>
      <c r="M28" s="462">
        <v>0.72</v>
      </c>
      <c r="N28" s="462">
        <v>0.72</v>
      </c>
      <c r="O28" s="244">
        <f>31.536/1000</f>
        <v>3.1536000000000002E-2</v>
      </c>
      <c r="P28" s="459">
        <v>0.15</v>
      </c>
      <c r="Q28" s="245">
        <v>22</v>
      </c>
      <c r="R28" s="227">
        <v>1.05</v>
      </c>
      <c r="T28" s="268">
        <f t="shared" si="5"/>
        <v>80.036397000000008</v>
      </c>
      <c r="U28" s="268"/>
      <c r="V28" s="592" t="str">
        <f>'Data manipulation'!$B$36</f>
        <v>Natural gas and biogas</v>
      </c>
      <c r="W28" s="246" t="s">
        <v>168</v>
      </c>
      <c r="X28" s="246">
        <v>2011</v>
      </c>
      <c r="Y28" s="436">
        <f>_xlfn.IFNA(INDEX('Data manipulation'!$C$23:$O$39,MATCH($V28,'Data manipulation'!$B$23:$B$39,0),MATCH($X28,'Data manipulation'!$C$22:$O$22,0))/1000,0)*SUMIFS('Regional split'!$F$4:$F$6,'Regional split'!$B$4:$B$6,Y$3)*SUMIFS('Data manipulation'!$V$39:$V$42,'Data manipulation'!$X$39:$X$42,$E28,'Data manipulation'!$Y$39:$Y$42,$D28)</f>
        <v>76.22463156720643</v>
      </c>
      <c r="Z28" s="270">
        <f>_xlfn.IFNA(INDEX('Data manipulation'!$C$23:$O$39,MATCH($V28,'Data manipulation'!$B$23:$B$39,0),MATCH($X28,'Data manipulation'!$C$22:$O$22,0))/1000,0)*SUMIFS('Regional split'!$F$4:$F$6,'Regional split'!$B$4:$B$6,Z$3)*SUMIFS('Data manipulation'!$V$39:$V$42,'Data manipulation'!$X$39:$X$42,$E28,'Data manipulation'!$Y$39:$Y$42,$D28)</f>
        <v>0</v>
      </c>
      <c r="AA28" s="454">
        <f>_xlfn.IFNA(INDEX('Data manipulation'!$C$23:$O$39,MATCH($V28,'Data manipulation'!$B$23:$B$39,0),MATCH($X28,'Data manipulation'!$C$22:$O$22,0))/1000,0)*SUMIFS('Regional split'!$F$4:$F$6,'Regional split'!$B$4:$B$6,AA$3)*SUMIFS('Data manipulation'!$V$39:$V$42,'Data manipulation'!$X$39:$X$42,$E28,'Data manipulation'!$Y$39:$Y$42,$D28)</f>
        <v>0</v>
      </c>
      <c r="AB28" s="442">
        <f t="shared" ref="AB28:AB49" si="21">Y28*L28</f>
        <v>54.881734728388629</v>
      </c>
      <c r="AC28" s="276">
        <f t="shared" ref="AC28:AC49" si="22">Z28*M28</f>
        <v>0</v>
      </c>
      <c r="AD28" s="443">
        <f t="shared" ref="AD28:AD49" si="23">AA28*N28</f>
        <v>0</v>
      </c>
      <c r="AG28" s="247"/>
      <c r="AH28" s="237"/>
      <c r="AI28" s="248"/>
      <c r="AJ28" s="249"/>
      <c r="AK28" s="249"/>
      <c r="AL28" s="237"/>
    </row>
    <row r="29" spans="2:53" ht="15" customHeight="1">
      <c r="B29" s="227" t="str">
        <f>Processes!D76</f>
        <v>CHTUMDSLE1</v>
      </c>
      <c r="C29" s="227" t="str">
        <f>Processes!E76</f>
        <v>Residential Heating Technology Urban Multi - Diesel - Existing 1</v>
      </c>
      <c r="D29" s="227" t="s">
        <v>714</v>
      </c>
      <c r="E29" s="227" t="s">
        <v>759</v>
      </c>
      <c r="F29" s="230" t="str">
        <f>Commodities!$C$21&amp;","&amp;Commodities!$C$38</f>
        <v>COMDSL,COMDSB</v>
      </c>
      <c r="G29" s="230" t="str">
        <f>Commodities!$C$45</f>
        <v>COMHUMB</v>
      </c>
      <c r="H29" s="230">
        <v>2011</v>
      </c>
      <c r="I29" s="250">
        <f t="shared" ref="I29:I37" si="24">ROUNDUP(AB29/($O29*$P29)*$R29,1)</f>
        <v>0</v>
      </c>
      <c r="J29" s="250">
        <f t="shared" ref="J29:J36" si="25">ROUNDUP(AC29/($O29*$P29)*$R29,1)</f>
        <v>0</v>
      </c>
      <c r="K29" s="250">
        <f t="shared" ref="K29:K36" si="26">ROUNDUP(AD29/($O29*$P29)*$R29,1)</f>
        <v>0</v>
      </c>
      <c r="L29" s="463">
        <v>0.71</v>
      </c>
      <c r="M29" s="463">
        <v>0.71</v>
      </c>
      <c r="N29" s="463">
        <v>0.71</v>
      </c>
      <c r="O29" s="244">
        <f>31.536/1000</f>
        <v>3.1536000000000002E-2</v>
      </c>
      <c r="P29" s="459">
        <v>0.15</v>
      </c>
      <c r="Q29" s="245">
        <v>20</v>
      </c>
      <c r="R29" s="227">
        <v>1.05</v>
      </c>
      <c r="T29" s="268">
        <f t="shared" si="5"/>
        <v>0</v>
      </c>
      <c r="V29" s="592" t="str">
        <f>'Data manipulation'!$B$35</f>
        <v>Oil products</v>
      </c>
      <c r="W29" s="254" t="s">
        <v>729</v>
      </c>
      <c r="X29" s="246">
        <v>2011</v>
      </c>
      <c r="Y29" s="433">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5">
        <f>_xlfn.IFNA(INDEX('Data manipulation'!$C$23:$O$39,MATCH($V29,'Data manipulation'!$B$23:$B$39,0),MATCH($X29,'Data manipulation'!$C$22:$O$22,0))/1000,0)*SUMIFS('Regional split'!$F$4:$F$6,'Regional split'!$B$4:$B$6,AA$3)*SUMIFS('Data manipulation'!$V$39:$V$42,'Data manipulation'!$X$39:$X$42,$E29,'Data manipulation'!$Y$39:$Y$42,$D29)</f>
        <v>0</v>
      </c>
      <c r="AB29" s="444">
        <f t="shared" si="21"/>
        <v>0</v>
      </c>
      <c r="AC29" s="251">
        <f t="shared" si="22"/>
        <v>0</v>
      </c>
      <c r="AD29" s="445">
        <f t="shared" si="23"/>
        <v>0</v>
      </c>
      <c r="AG29" s="247"/>
      <c r="AH29" s="237"/>
      <c r="AI29" s="248"/>
      <c r="AJ29" s="249"/>
      <c r="AK29" s="249"/>
      <c r="AL29" s="237"/>
      <c r="BA29" s="252"/>
    </row>
    <row r="30" spans="2:53" ht="15" customHeight="1">
      <c r="B30" s="227" t="str">
        <f>Processes!D77</f>
        <v>CHTUMWPEE1</v>
      </c>
      <c r="C30" s="227" t="str">
        <f>Processes!E77</f>
        <v>Residential Heating Technology Urban Multi - Wood pellets - Existing 1</v>
      </c>
      <c r="D30" s="227" t="s">
        <v>714</v>
      </c>
      <c r="E30" s="227" t="s">
        <v>759</v>
      </c>
      <c r="F30" s="230" t="str">
        <f>Commodities!$C$23</f>
        <v>COMWPE</v>
      </c>
      <c r="G30" s="230" t="str">
        <f>Commodities!$C$45</f>
        <v>COMHUMB</v>
      </c>
      <c r="H30" s="230">
        <v>2011</v>
      </c>
      <c r="I30" s="250">
        <f t="shared" si="24"/>
        <v>0</v>
      </c>
      <c r="J30" s="250">
        <f t="shared" si="25"/>
        <v>0</v>
      </c>
      <c r="K30" s="250">
        <f t="shared" si="26"/>
        <v>0</v>
      </c>
      <c r="L30" s="463">
        <v>0.61</v>
      </c>
      <c r="M30" s="463">
        <v>0.61</v>
      </c>
      <c r="N30" s="463">
        <v>0.61</v>
      </c>
      <c r="O30" s="244">
        <f t="shared" ref="O30:O49" si="27">31.536/1000</f>
        <v>3.1536000000000002E-2</v>
      </c>
      <c r="P30" s="459">
        <v>0.15</v>
      </c>
      <c r="Q30" s="245">
        <v>20</v>
      </c>
      <c r="R30" s="227">
        <v>1.05</v>
      </c>
      <c r="T30" s="268">
        <f t="shared" si="5"/>
        <v>0</v>
      </c>
      <c r="U30" s="268"/>
      <c r="W30" s="254" t="s">
        <v>866</v>
      </c>
      <c r="X30" s="246">
        <v>2011</v>
      </c>
      <c r="Y30" s="433">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5">
        <f>_xlfn.IFNA(INDEX('Data manipulation'!$C$23:$O$39,MATCH($V30,'Data manipulation'!$B$23:$B$39,0),MATCH($X30,'Data manipulation'!$C$22:$O$22,0))/1000,0)*SUMIFS('Regional split'!$F$4:$F$6,'Regional split'!$B$4:$B$6,AA$3)*SUMIFS('Data manipulation'!$V$39:$V$42,'Data manipulation'!$X$39:$X$42,$E30,'Data manipulation'!$Y$39:$Y$42,$D30)</f>
        <v>0</v>
      </c>
      <c r="AB30" s="444">
        <f t="shared" si="21"/>
        <v>0</v>
      </c>
      <c r="AC30" s="251">
        <f t="shared" si="22"/>
        <v>0</v>
      </c>
      <c r="AD30" s="445">
        <f t="shared" si="23"/>
        <v>0</v>
      </c>
      <c r="BA30" s="253"/>
    </row>
    <row r="31" spans="2:53" ht="15" customHeight="1">
      <c r="B31" s="227" t="str">
        <f>Processes!D78</f>
        <v>CHTUMFIWE1</v>
      </c>
      <c r="C31" s="227" t="str">
        <f>Processes!E78</f>
        <v>Residential Heating Technology Urban Multi - Fire wood - Existing 1</v>
      </c>
      <c r="D31" s="227" t="s">
        <v>714</v>
      </c>
      <c r="E31" s="227" t="s">
        <v>759</v>
      </c>
      <c r="F31" s="230" t="str">
        <f>Commodities!$C$24</f>
        <v>COMFIW</v>
      </c>
      <c r="G31" s="230" t="str">
        <f>Commodities!$C$45</f>
        <v>COMHUMB</v>
      </c>
      <c r="H31" s="230">
        <v>2011</v>
      </c>
      <c r="I31" s="250">
        <f t="shared" si="24"/>
        <v>1808.6999999999998</v>
      </c>
      <c r="J31" s="250">
        <f t="shared" si="25"/>
        <v>0</v>
      </c>
      <c r="K31" s="250">
        <f t="shared" si="26"/>
        <v>0</v>
      </c>
      <c r="L31" s="463">
        <v>0.65000022993955098</v>
      </c>
      <c r="M31" s="463">
        <v>0.65000022993955098</v>
      </c>
      <c r="N31" s="463">
        <v>0.65000022993955098</v>
      </c>
      <c r="O31" s="244">
        <f t="shared" si="27"/>
        <v>3.1536000000000002E-2</v>
      </c>
      <c r="P31" s="459">
        <v>0.15</v>
      </c>
      <c r="Q31" s="245">
        <v>20</v>
      </c>
      <c r="R31" s="227">
        <v>1.05</v>
      </c>
      <c r="T31" s="268">
        <f t="shared" si="5"/>
        <v>13.162879158974579</v>
      </c>
      <c r="U31" s="268"/>
      <c r="V31" s="592" t="str">
        <f>'Data manipulation'!$B$31</f>
        <v>Primary solid biofuels</v>
      </c>
      <c r="W31" s="254" t="s">
        <v>177</v>
      </c>
      <c r="X31" s="246">
        <v>2011</v>
      </c>
      <c r="Y31" s="433">
        <f>_xlfn.IFNA(INDEX('Data manipulation'!$C$23:$O$39,MATCH($V31,'Data manipulation'!$B$23:$B$39,0),MATCH($X31,'Data manipulation'!$C$22:$O$22,0))/1000,0)*SUMIFS('Regional split'!$F$4:$F$6,'Regional split'!$B$4:$B$6,Y$3)*SUMIFS('Data manipulation'!$V$39:$V$42,'Data manipulation'!$X$39:$X$42,$E31,'Data manipulation'!$Y$39:$Y$42,$D31)</f>
        <v>12.535918556675547</v>
      </c>
      <c r="Z31" s="270">
        <f>_xlfn.IFNA(INDEX('Data manipulation'!$C$23:$O$39,MATCH($V31,'Data manipulation'!$B$23:$B$39,0),MATCH($X31,'Data manipulation'!$C$22:$O$22,0))/1000,0)*SUMIFS('Regional split'!$F$4:$F$6,'Regional split'!$B$4:$B$6,Z$3)*SUMIFS('Data manipulation'!$V$39:$V$42,'Data manipulation'!$X$39:$X$42,$E31,'Data manipulation'!$Y$39:$Y$42,$D31)</f>
        <v>0</v>
      </c>
      <c r="AA31" s="455">
        <f>_xlfn.IFNA(INDEX('Data manipulation'!$C$23:$O$39,MATCH($V31,'Data manipulation'!$B$23:$B$39,0),MATCH($X31,'Data manipulation'!$C$22:$O$22,0))/1000,0)*SUMIFS('Regional split'!$F$4:$F$6,'Regional split'!$B$4:$B$6,AA$3)*SUMIFS('Data manipulation'!$V$39:$V$42,'Data manipulation'!$X$39:$X$42,$E31,'Data manipulation'!$Y$39:$Y$42,$D31)</f>
        <v>0</v>
      </c>
      <c r="AB31" s="444">
        <f t="shared" si="21"/>
        <v>8.1483499443425895</v>
      </c>
      <c r="AC31" s="251">
        <f t="shared" si="22"/>
        <v>0</v>
      </c>
      <c r="AD31" s="445">
        <f t="shared" si="23"/>
        <v>0</v>
      </c>
      <c r="BA31" s="252"/>
    </row>
    <row r="32" spans="2:53" ht="15" customHeight="1">
      <c r="B32" s="233" t="str">
        <f>Processes!D79</f>
        <v>CHTUMCOAE1</v>
      </c>
      <c r="C32" s="233" t="str">
        <f>Processes!E79</f>
        <v>Residential Heating Technology Urban Multi - Coal - Existing 1</v>
      </c>
      <c r="D32" s="233" t="s">
        <v>714</v>
      </c>
      <c r="E32" s="233" t="s">
        <v>759</v>
      </c>
      <c r="F32" s="230" t="str">
        <f>Commodities!$C$25</f>
        <v>COMCOA</v>
      </c>
      <c r="G32" s="230" t="str">
        <f>Commodities!$C$45</f>
        <v>COMHUMB</v>
      </c>
      <c r="H32" s="230">
        <v>2011</v>
      </c>
      <c r="I32" s="250">
        <f t="shared" si="24"/>
        <v>174.2</v>
      </c>
      <c r="J32" s="250">
        <f t="shared" si="25"/>
        <v>0</v>
      </c>
      <c r="K32" s="250">
        <f t="shared" si="26"/>
        <v>0</v>
      </c>
      <c r="L32" s="463">
        <v>0.7</v>
      </c>
      <c r="M32" s="463">
        <v>0.7</v>
      </c>
      <c r="N32" s="463">
        <v>0.7</v>
      </c>
      <c r="O32" s="244">
        <f t="shared" si="27"/>
        <v>3.1536000000000002E-2</v>
      </c>
      <c r="P32" s="459">
        <v>0.15</v>
      </c>
      <c r="Q32" s="245">
        <v>20</v>
      </c>
      <c r="R32" s="227">
        <v>1.05</v>
      </c>
      <c r="T32" s="268">
        <f t="shared" si="5"/>
        <v>1.1771938285714285</v>
      </c>
      <c r="U32" s="268"/>
      <c r="V32" s="592" t="str">
        <f>'Data manipulation'!$B$23</f>
        <v>Solid fossil fuels, peat, peat products, oil shale and oil sands</v>
      </c>
      <c r="W32" s="254" t="s">
        <v>863</v>
      </c>
      <c r="X32" s="246">
        <v>2011</v>
      </c>
      <c r="Y32" s="433">
        <f>_xlfn.IFNA(INDEX('Data manipulation'!$C$23:$O$39,MATCH($V32,'Data manipulation'!$B$23:$B$39,0),MATCH($X32,'Data manipulation'!$C$22:$O$22,0))/1000,0)*SUMIFS('Regional split'!$F$4:$F$6,'Regional split'!$B$4:$B$6,Y$3)*SUMIFS('Data manipulation'!$V$39:$V$42,'Data manipulation'!$X$39:$X$42,$E32,'Data manipulation'!$Y$39:$Y$42,$D32)</f>
        <v>1.120760559</v>
      </c>
      <c r="Z32" s="270">
        <f>_xlfn.IFNA(INDEX('Data manipulation'!$C$23:$O$39,MATCH($V32,'Data manipulation'!$B$23:$B$39,0),MATCH($X32,'Data manipulation'!$C$22:$O$22,0))/1000,0)*SUMIFS('Regional split'!$F$4:$F$6,'Regional split'!$B$4:$B$6,Z$3)*SUMIFS('Data manipulation'!$V$39:$V$42,'Data manipulation'!$X$39:$X$42,$E32,'Data manipulation'!$Y$39:$Y$42,$D32)</f>
        <v>0</v>
      </c>
      <c r="AA32" s="455">
        <f>_xlfn.IFNA(INDEX('Data manipulation'!$C$23:$O$39,MATCH($V32,'Data manipulation'!$B$23:$B$39,0),MATCH($X32,'Data manipulation'!$C$22:$O$22,0))/1000,0)*SUMIFS('Regional split'!$F$4:$F$6,'Regional split'!$B$4:$B$6,AA$3)*SUMIFS('Data manipulation'!$V$39:$V$42,'Data manipulation'!$X$39:$X$42,$E32,'Data manipulation'!$Y$39:$Y$42,$D32)</f>
        <v>0</v>
      </c>
      <c r="AB32" s="444">
        <f t="shared" si="21"/>
        <v>0.78453239129999996</v>
      </c>
      <c r="AC32" s="251">
        <f t="shared" si="22"/>
        <v>0</v>
      </c>
      <c r="AD32" s="445">
        <f t="shared" si="23"/>
        <v>0</v>
      </c>
      <c r="BA32" s="252"/>
    </row>
    <row r="33" spans="2:53" ht="15" customHeight="1">
      <c r="B33" s="233" t="str">
        <f>Processes!D80</f>
        <v>CHTUMSOLE1</v>
      </c>
      <c r="C33" s="233" t="str">
        <f>Processes!E80</f>
        <v>Residential Heating Technology Urban Multi - Solar - Existing 1</v>
      </c>
      <c r="D33" s="233" t="s">
        <v>714</v>
      </c>
      <c r="E33" s="233" t="s">
        <v>759</v>
      </c>
      <c r="F33" s="230" t="str">
        <f>Commodities!$C$27</f>
        <v>COMSOL</v>
      </c>
      <c r="G33" s="230" t="str">
        <f>Commodities!$C$45</f>
        <v>COMHUMB</v>
      </c>
      <c r="H33" s="230">
        <v>2011</v>
      </c>
      <c r="I33" s="250">
        <f t="shared" si="24"/>
        <v>9.2999999999999989</v>
      </c>
      <c r="J33" s="250">
        <f t="shared" si="25"/>
        <v>0</v>
      </c>
      <c r="K33" s="250">
        <f t="shared" si="26"/>
        <v>0</v>
      </c>
      <c r="L33" s="463">
        <v>1</v>
      </c>
      <c r="M33" s="463">
        <v>1</v>
      </c>
      <c r="N33" s="463">
        <v>1</v>
      </c>
      <c r="O33" s="244">
        <f t="shared" si="27"/>
        <v>3.1536000000000002E-2</v>
      </c>
      <c r="P33" s="459">
        <v>0.15</v>
      </c>
      <c r="Q33" s="245">
        <v>20</v>
      </c>
      <c r="R33" s="227">
        <v>1.05</v>
      </c>
      <c r="T33" s="268">
        <f t="shared" si="5"/>
        <v>4.3992719999999992E-2</v>
      </c>
      <c r="U33" s="268"/>
      <c r="V33" s="592" t="str">
        <f>'Data manipulation'!$B$29</f>
        <v>Solar thermal</v>
      </c>
      <c r="W33" s="254" t="s">
        <v>169</v>
      </c>
      <c r="X33" s="246">
        <v>2011</v>
      </c>
      <c r="Y33" s="433">
        <f>_xlfn.IFNA(INDEX('Data manipulation'!$C$23:$O$39,MATCH($V33,'Data manipulation'!$B$23:$B$39,0),MATCH($X33,'Data manipulation'!$C$22:$O$22,0))/1000,0)*SUMIFS('Regional split'!$F$4:$F$6,'Regional split'!$B$4:$B$6,Y$3)*SUMIFS('Data manipulation'!$V$39:$V$42,'Data manipulation'!$X$39:$X$42,$E33,'Data manipulation'!$Y$39:$Y$42,$D33)</f>
        <v>4.1512328000000001E-2</v>
      </c>
      <c r="Z33" s="270">
        <f>_xlfn.IFNA(INDEX('Data manipulation'!$C$23:$O$39,MATCH($V33,'Data manipulation'!$B$23:$B$39,0),MATCH($X33,'Data manipulation'!$C$22:$O$22,0))/1000,0)*SUMIFS('Regional split'!$F$4:$F$6,'Regional split'!$B$4:$B$6,Z$3)*SUMIFS('Data manipulation'!$V$39:$V$42,'Data manipulation'!$X$39:$X$42,$E33,'Data manipulation'!$Y$39:$Y$42,$D33)</f>
        <v>0</v>
      </c>
      <c r="AA33" s="455">
        <f>_xlfn.IFNA(INDEX('Data manipulation'!$C$23:$O$39,MATCH($V33,'Data manipulation'!$B$23:$B$39,0),MATCH($X33,'Data manipulation'!$C$22:$O$22,0))/1000,0)*SUMIFS('Regional split'!$F$4:$F$6,'Regional split'!$B$4:$B$6,AA$3)*SUMIFS('Data manipulation'!$V$39:$V$42,'Data manipulation'!$X$39:$X$42,$E33,'Data manipulation'!$Y$39:$Y$42,$D33)</f>
        <v>0</v>
      </c>
      <c r="AB33" s="444">
        <f t="shared" si="21"/>
        <v>4.1512328000000001E-2</v>
      </c>
      <c r="AC33" s="251">
        <f t="shared" si="22"/>
        <v>0</v>
      </c>
      <c r="AD33" s="445">
        <f t="shared" si="23"/>
        <v>0</v>
      </c>
      <c r="BA33" s="252"/>
    </row>
    <row r="34" spans="2:53" ht="15" customHeight="1">
      <c r="B34" s="233" t="str">
        <f>Processes!D81</f>
        <v>CHTUMGEOE1</v>
      </c>
      <c r="C34" s="233" t="str">
        <f>Processes!E81</f>
        <v>Residential Heating Technology Urban Multi - Geothermal - Existing 1</v>
      </c>
      <c r="D34" s="233" t="s">
        <v>714</v>
      </c>
      <c r="E34" s="233" t="s">
        <v>759</v>
      </c>
      <c r="F34" s="230" t="str">
        <f>Commodities!$C$28</f>
        <v>COMGEO</v>
      </c>
      <c r="G34" s="259" t="str">
        <f>Commodities!$C$45</f>
        <v>COMHUMB</v>
      </c>
      <c r="H34" s="230">
        <v>2011</v>
      </c>
      <c r="I34" s="250">
        <f t="shared" si="24"/>
        <v>115.8</v>
      </c>
      <c r="J34" s="250">
        <f t="shared" si="25"/>
        <v>0</v>
      </c>
      <c r="K34" s="250">
        <f t="shared" si="26"/>
        <v>0</v>
      </c>
      <c r="L34" s="463">
        <v>1</v>
      </c>
      <c r="M34" s="463">
        <v>1</v>
      </c>
      <c r="N34" s="463">
        <v>1</v>
      </c>
      <c r="O34" s="244">
        <f t="shared" si="27"/>
        <v>3.1536000000000002E-2</v>
      </c>
      <c r="P34" s="459">
        <v>0.15</v>
      </c>
      <c r="Q34" s="245">
        <v>30</v>
      </c>
      <c r="R34" s="227">
        <v>1.05</v>
      </c>
      <c r="T34" s="268">
        <f t="shared" ref="T34" si="28">SUM(I34:K34)*O34*P34/L34</f>
        <v>0.54778031999999999</v>
      </c>
      <c r="U34" s="268"/>
      <c r="V34" s="592" t="str">
        <f>'Data manipulation'!$B$38</f>
        <v>Geothermal</v>
      </c>
      <c r="W34" s="254" t="s">
        <v>170</v>
      </c>
      <c r="X34" s="246">
        <v>2011</v>
      </c>
      <c r="Y34" s="433">
        <f>_xlfn.IFNA(INDEX('Data manipulation'!$C$23:$O$39,MATCH($V34,'Data manipulation'!$B$23:$B$39,0),MATCH($X34,'Data manipulation'!$C$22:$O$22,0))/1000,0)*SUMIFS('Regional split'!$F$4:$F$6,'Regional split'!$B$4:$B$6,Y$3)*SUMIFS('Data manipulation'!$V$39:$V$42,'Data manipulation'!$X$39:$X$42,$E34,'Data manipulation'!$Y$39:$Y$42,$D34)</f>
        <v>0.52159100000000003</v>
      </c>
      <c r="Z34" s="270">
        <f>_xlfn.IFNA(INDEX('Data manipulation'!$C$23:$O$39,MATCH($V34,'Data manipulation'!$B$23:$B$39,0),MATCH($X34,'Data manipulation'!$C$22:$O$22,0))/1000,0)*SUMIFS('Regional split'!$F$4:$F$6,'Regional split'!$B$4:$B$6,Z$3)*SUMIFS('Data manipulation'!$V$39:$V$42,'Data manipulation'!$X$39:$X$42,$E34,'Data manipulation'!$Y$39:$Y$42,$D34)</f>
        <v>0</v>
      </c>
      <c r="AA34" s="455">
        <f>_xlfn.IFNA(INDEX('Data manipulation'!$C$23:$O$39,MATCH($V34,'Data manipulation'!$B$23:$B$39,0),MATCH($X34,'Data manipulation'!$C$22:$O$22,0))/1000,0)*SUMIFS('Regional split'!$F$4:$F$6,'Regional split'!$B$4:$B$6,AA$3)*SUMIFS('Data manipulation'!$V$39:$V$42,'Data manipulation'!$X$39:$X$42,$E34,'Data manipulation'!$Y$39:$Y$42,$D34)</f>
        <v>0</v>
      </c>
      <c r="AB34" s="444">
        <f t="shared" si="21"/>
        <v>0.52159100000000003</v>
      </c>
      <c r="AC34" s="251">
        <f t="shared" si="22"/>
        <v>0</v>
      </c>
      <c r="AD34" s="445">
        <f t="shared" si="23"/>
        <v>0</v>
      </c>
      <c r="AV34" s="260"/>
      <c r="BA34" s="252"/>
    </row>
    <row r="35" spans="2:53" ht="15" customHeight="1">
      <c r="B35" s="233" t="str">
        <f>Processes!D82</f>
        <v>CHTUMELCHE1</v>
      </c>
      <c r="C35" s="233" t="str">
        <f>Processes!E82</f>
        <v>Residential Heating Technology Urban Multi - Electricity Heating - Existing 1</v>
      </c>
      <c r="D35" s="233" t="s">
        <v>714</v>
      </c>
      <c r="E35" s="233" t="s">
        <v>759</v>
      </c>
      <c r="F35" s="230" t="str">
        <f>Commodities!$C$29</f>
        <v>COMELCH</v>
      </c>
      <c r="G35" s="230" t="str">
        <f>Commodities!$C$45</f>
        <v>COMHUMB</v>
      </c>
      <c r="H35" s="230">
        <v>2011</v>
      </c>
      <c r="I35" s="250">
        <f t="shared" si="24"/>
        <v>1779.1</v>
      </c>
      <c r="J35" s="250">
        <f t="shared" si="25"/>
        <v>0</v>
      </c>
      <c r="K35" s="250">
        <f t="shared" si="26"/>
        <v>0</v>
      </c>
      <c r="L35" s="463">
        <v>1</v>
      </c>
      <c r="M35" s="463">
        <v>1</v>
      </c>
      <c r="N35" s="463">
        <v>1</v>
      </c>
      <c r="O35" s="244">
        <f t="shared" si="27"/>
        <v>3.1536000000000002E-2</v>
      </c>
      <c r="P35" s="459">
        <v>0.15</v>
      </c>
      <c r="Q35" s="245">
        <v>30</v>
      </c>
      <c r="R35" s="227">
        <v>1.05</v>
      </c>
      <c r="T35" s="268">
        <f t="shared" si="5"/>
        <v>8.4158546399999992</v>
      </c>
      <c r="U35" s="268"/>
      <c r="V35" s="592" t="str">
        <f>'Data manipulation'!$B$33</f>
        <v>Electricity</v>
      </c>
      <c r="W35" s="254" t="s">
        <v>170</v>
      </c>
      <c r="X35" s="246">
        <v>2011</v>
      </c>
      <c r="Y35" s="433">
        <f>_xlfn.IFNA(INDEX('Data manipulation'!$C$23:$O$39,MATCH($V35,'Data manipulation'!$B$23:$B$39,0),MATCH($X35,'Data manipulation'!$C$22:$O$22,0))/1000,0)*SUMIFS('Regional split'!$F$4:$F$6,'Regional split'!$B$4:$B$6,Y$3)*SUMIFS('Data manipulation'!$V$39:$V$42,'Data manipulation'!$X$39:$X$42,$E35,'Data manipulation'!$Y$39:$Y$42,$D35)</f>
        <v>8.0150472063225422</v>
      </c>
      <c r="Z35" s="270">
        <f>_xlfn.IFNA(INDEX('Data manipulation'!$C$23:$O$39,MATCH($V35,'Data manipulation'!$B$23:$B$39,0),MATCH($X35,'Data manipulation'!$C$22:$O$22,0))/1000,0)*SUMIFS('Regional split'!$F$4:$F$6,'Regional split'!$B$4:$B$6,Z$3)*SUMIFS('Data manipulation'!$V$39:$V$42,'Data manipulation'!$X$39:$X$42,$E35,'Data manipulation'!$Y$39:$Y$42,$D35)</f>
        <v>0</v>
      </c>
      <c r="AA35" s="455">
        <f>_xlfn.IFNA(INDEX('Data manipulation'!$C$23:$O$39,MATCH($V35,'Data manipulation'!$B$23:$B$39,0),MATCH($X35,'Data manipulation'!$C$22:$O$22,0))/1000,0)*SUMIFS('Regional split'!$F$4:$F$6,'Regional split'!$B$4:$B$6,AA$3)*SUMIFS('Data manipulation'!$V$39:$V$42,'Data manipulation'!$X$39:$X$42,$E35,'Data manipulation'!$Y$39:$Y$42,$D35)</f>
        <v>0</v>
      </c>
      <c r="AB35" s="444">
        <f>Y35*L35</f>
        <v>8.0150472063225422</v>
      </c>
      <c r="AC35" s="251">
        <f t="shared" si="22"/>
        <v>0</v>
      </c>
      <c r="AD35" s="445">
        <f t="shared" si="23"/>
        <v>0</v>
      </c>
      <c r="BA35" s="252"/>
    </row>
    <row r="36" spans="2:53" ht="15" customHeight="1">
      <c r="B36" s="233" t="str">
        <f>Processes!D83</f>
        <v>CHTUMELCHE2</v>
      </c>
      <c r="C36" s="233" t="str">
        <f>Processes!E83</f>
        <v>Residential Heating Technology Urban Multi - Electricity Heating - Existing 2</v>
      </c>
      <c r="D36" s="233" t="s">
        <v>714</v>
      </c>
      <c r="E36" s="233" t="s">
        <v>759</v>
      </c>
      <c r="F36" s="230" t="str">
        <f>Commodities!$C$29</f>
        <v>COMELCH</v>
      </c>
      <c r="G36" s="230" t="str">
        <f>Commodities!$C$45</f>
        <v>COMHUMB</v>
      </c>
      <c r="H36" s="230">
        <v>2011</v>
      </c>
      <c r="I36" s="250">
        <f t="shared" si="24"/>
        <v>209.2</v>
      </c>
      <c r="J36" s="250">
        <f t="shared" si="25"/>
        <v>0</v>
      </c>
      <c r="K36" s="250">
        <f t="shared" si="26"/>
        <v>0</v>
      </c>
      <c r="L36" s="463">
        <v>2.3149999999999999</v>
      </c>
      <c r="M36" s="463">
        <v>2.3149999999999999</v>
      </c>
      <c r="N36" s="463">
        <v>2.3149999999999999</v>
      </c>
      <c r="O36" s="244">
        <f t="shared" si="27"/>
        <v>3.1536000000000002E-2</v>
      </c>
      <c r="P36" s="459">
        <v>0.15</v>
      </c>
      <c r="Q36" s="245">
        <v>30</v>
      </c>
      <c r="R36" s="227">
        <v>1.05</v>
      </c>
      <c r="T36" s="268">
        <f t="shared" si="5"/>
        <v>0.42747286393088552</v>
      </c>
      <c r="U36" s="268"/>
      <c r="V36" s="592" t="str">
        <f>'Data manipulation'!$B$30</f>
        <v>Ambient heat (heat pumps)</v>
      </c>
      <c r="W36" s="254" t="s">
        <v>171</v>
      </c>
      <c r="X36" s="246">
        <v>2011</v>
      </c>
      <c r="Y36" s="433">
        <f>_xlfn.IFNA(INDEX('Data manipulation'!$C$23:$O$39,MATCH($V36,'Data manipulation'!$B$23:$B$39,0),MATCH($X36,'Data manipulation'!$C$22:$O$22,0))/1000,0)*SUMIFS('Regional split'!$F$4:$F$6,'Regional split'!$B$4:$B$6,Y$3)*SUMIFS('Data manipulation'!$V$39:$V$42,'Data manipulation'!$X$39:$X$42,$E36,'Data manipulation'!$Y$39:$Y$42,$D36)</f>
        <v>0.40709305000000007</v>
      </c>
      <c r="Z36" s="270">
        <f>_xlfn.IFNA(INDEX('Data manipulation'!$C$23:$O$39,MATCH($V36,'Data manipulation'!$B$23:$B$39,0),MATCH($X36,'Data manipulation'!$C$22:$O$22,0))/1000,0)*SUMIFS('Regional split'!$F$4:$F$6,'Regional split'!$B$4:$B$6,Z$3)*SUMIFS('Data manipulation'!$V$39:$V$42,'Data manipulation'!$X$39:$X$42,$E36,'Data manipulation'!$Y$39:$Y$42,$D36)</f>
        <v>0</v>
      </c>
      <c r="AA36" s="455">
        <f>_xlfn.IFNA(INDEX('Data manipulation'!$C$23:$O$39,MATCH($V36,'Data manipulation'!$B$23:$B$39,0),MATCH($X36,'Data manipulation'!$C$22:$O$22,0))/1000,0)*SUMIFS('Regional split'!$F$4:$F$6,'Regional split'!$B$4:$B$6,AA$3)*SUMIFS('Data manipulation'!$V$39:$V$42,'Data manipulation'!$X$39:$X$42,$E36,'Data manipulation'!$Y$39:$Y$42,$D36)</f>
        <v>0</v>
      </c>
      <c r="AB36" s="444">
        <f t="shared" si="21"/>
        <v>0.94242041075000016</v>
      </c>
      <c r="AC36" s="251">
        <f t="shared" si="22"/>
        <v>0</v>
      </c>
      <c r="AD36" s="445">
        <f t="shared" si="23"/>
        <v>0</v>
      </c>
      <c r="BA36" s="253"/>
    </row>
    <row r="37" spans="2:53" ht="14.5">
      <c r="B37" s="233" t="str">
        <f>Processes!D84</f>
        <v>CHTUMHCEE1</v>
      </c>
      <c r="C37" s="233" t="str">
        <f>Processes!E84</f>
        <v>Residential Heating Technology Urban Multi - District heating Central - Existing 1</v>
      </c>
      <c r="D37" s="233" t="s">
        <v>714</v>
      </c>
      <c r="E37" s="233" t="s">
        <v>759</v>
      </c>
      <c r="F37" s="230" t="str">
        <f>Commodities!$C$34</f>
        <v>COMHCE</v>
      </c>
      <c r="G37" s="230" t="str">
        <f>Commodities!$C$41</f>
        <v>COMHUMX</v>
      </c>
      <c r="H37" s="230">
        <v>2011</v>
      </c>
      <c r="I37" s="250">
        <f t="shared" si="24"/>
        <v>4531.2000000000007</v>
      </c>
      <c r="J37" s="568">
        <v>0</v>
      </c>
      <c r="K37" s="568">
        <v>0</v>
      </c>
      <c r="L37" s="463">
        <v>0.95</v>
      </c>
      <c r="M37" s="463">
        <v>0.95</v>
      </c>
      <c r="N37" s="463">
        <v>0.95</v>
      </c>
      <c r="O37" s="244">
        <f t="shared" si="27"/>
        <v>3.1536000000000002E-2</v>
      </c>
      <c r="P37" s="459">
        <v>0.15</v>
      </c>
      <c r="Q37" s="245">
        <v>30</v>
      </c>
      <c r="R37" s="227">
        <v>1.05</v>
      </c>
      <c r="T37" s="268">
        <f t="shared" si="5"/>
        <v>22.562514189473688</v>
      </c>
      <c r="U37" s="268"/>
      <c r="V37" s="592" t="str">
        <f>'Data manipulation'!$B$34</f>
        <v>Heat</v>
      </c>
      <c r="W37" s="254" t="s">
        <v>172</v>
      </c>
      <c r="X37" s="246">
        <v>2011</v>
      </c>
      <c r="Y37" s="433">
        <f>_xlfn.IFNA(INDEX('Data manipulation'!$C$23:$O$39,MATCH($V37,'Data manipulation'!$B$23:$B$39,0),MATCH($X37,'Data manipulation'!$C$22:$O$22,0))/1000,0)*SUMIFS('Regional split'!$F$4:$F$6,'Regional split'!$B$4:$B$6,Y$3)*SUMIFS('Data manipulation'!$V$39:$V$42,'Data manipulation'!$X$39:$X$42,$E37,'Data manipulation'!$Y$39:$Y$42,$D37)</f>
        <v>21.487771376715404</v>
      </c>
      <c r="Z37" s="270">
        <f>_xlfn.IFNA(INDEX('Data manipulation'!$C$23:$O$39,MATCH($V37,'Data manipulation'!$B$23:$B$39,0),MATCH($X37,'Data manipulation'!$C$22:$O$22,0))/1000,0)*SUMIFS('Regional split'!$F$4:$F$6,'Regional split'!$B$4:$B$6,Z$3)*SUMIFS('Data manipulation'!$V$39:$V$42,'Data manipulation'!$X$39:$X$42,$E37,'Data manipulation'!$Y$39:$Y$42,$D37)</f>
        <v>0</v>
      </c>
      <c r="AA37" s="455">
        <f>_xlfn.IFNA(INDEX('Data manipulation'!$C$23:$O$39,MATCH($V37,'Data manipulation'!$B$23:$B$39,0),MATCH($X37,'Data manipulation'!$C$22:$O$22,0))/1000,0)*SUMIFS('Regional split'!$F$4:$F$6,'Regional split'!$B$4:$B$6,AA$3)*SUMIFS('Data manipulation'!$V$39:$V$42,'Data manipulation'!$X$39:$X$42,$E37,'Data manipulation'!$Y$39:$Y$42,$D37)</f>
        <v>0</v>
      </c>
      <c r="AB37" s="444">
        <f t="shared" si="21"/>
        <v>20.413382807879632</v>
      </c>
      <c r="AC37" s="251">
        <f t="shared" si="22"/>
        <v>0</v>
      </c>
      <c r="AD37" s="445">
        <f t="shared" si="23"/>
        <v>0</v>
      </c>
      <c r="BA37" s="252"/>
    </row>
    <row r="38" spans="2:53" ht="15" customHeight="1" thickBot="1">
      <c r="B38" s="255" t="str">
        <f>Processes!D85</f>
        <v>CHTUMLPGE1</v>
      </c>
      <c r="C38" s="255" t="str">
        <f>Processes!E85</f>
        <v>Residential Heating Technology Urban Multi - LPG - Existing 1</v>
      </c>
      <c r="D38" s="531" t="s">
        <v>714</v>
      </c>
      <c r="E38" s="531" t="s">
        <v>759</v>
      </c>
      <c r="F38" s="256" t="str">
        <f>Commodities!$C$20</f>
        <v>COMLPG</v>
      </c>
      <c r="G38" s="256" t="str">
        <f>G36</f>
        <v>COMHUMB</v>
      </c>
      <c r="H38" s="230">
        <v>2011</v>
      </c>
      <c r="I38" s="297">
        <f t="shared" ref="I38" si="29">ROUNDUP(AB38/($O38*$P38)*$R38,1)</f>
        <v>761.1</v>
      </c>
      <c r="J38" s="297">
        <f t="shared" ref="J38" si="30">ROUNDUP(AC38/($O38*$P38)*$R38,1)</f>
        <v>0</v>
      </c>
      <c r="K38" s="297">
        <f t="shared" ref="K38" si="31">ROUNDUP(AD38/($O38*$P38)*$R38,1)</f>
        <v>0</v>
      </c>
      <c r="L38" s="464">
        <v>0.95</v>
      </c>
      <c r="M38" s="464">
        <v>0.95</v>
      </c>
      <c r="N38" s="464">
        <v>0.95</v>
      </c>
      <c r="O38" s="257">
        <f t="shared" si="27"/>
        <v>3.1536000000000002E-2</v>
      </c>
      <c r="P38" s="460">
        <v>0.15</v>
      </c>
      <c r="Q38" s="258">
        <v>30</v>
      </c>
      <c r="R38" s="227">
        <v>1.05</v>
      </c>
      <c r="T38" s="268">
        <f t="shared" si="5"/>
        <v>3.7897973052631584</v>
      </c>
      <c r="U38" s="268"/>
      <c r="V38" s="593" t="str">
        <f>'Data manipulation'!$B$25</f>
        <v>Liquefied natural gas</v>
      </c>
      <c r="W38" s="428" t="s">
        <v>771</v>
      </c>
      <c r="X38" s="246">
        <v>2011</v>
      </c>
      <c r="Y38" s="434">
        <f>_xlfn.IFNA(INDEX('Data manipulation'!$C$23:$O$39,MATCH($V38,'Data manipulation'!$B$23:$B$39,0),MATCH($X38,'Data manipulation'!$C$22:$O$22,0))/1000,0)*SUMIFS('Regional split'!$F$4:$F$6,'Regional split'!$B$4:$B$6,Y$3)*SUMIFS('Data manipulation'!$V$39:$V$42,'Data manipulation'!$X$39:$X$42,$E38,'Data manipulation'!$Y$39:$Y$42,$D38)</f>
        <v>3.6088594030037391</v>
      </c>
      <c r="Z38" s="431">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6">
        <f t="shared" si="21"/>
        <v>3.428416432853552</v>
      </c>
      <c r="AC38" s="277">
        <f t="shared" si="22"/>
        <v>0</v>
      </c>
      <c r="AD38" s="447">
        <f t="shared" si="23"/>
        <v>0</v>
      </c>
      <c r="BA38" s="252"/>
    </row>
    <row r="39" spans="2:53" ht="15" customHeight="1">
      <c r="B39" s="233" t="str">
        <f>Processes!D86</f>
        <v>CHTRMNGAE1</v>
      </c>
      <c r="C39" s="233" t="str">
        <f>Processes!E86</f>
        <v>Residential Heating Technology Rural Multi - Natural Gas - Existing 1</v>
      </c>
      <c r="D39" s="233" t="s">
        <v>715</v>
      </c>
      <c r="E39" s="233" t="s">
        <v>759</v>
      </c>
      <c r="F39" s="230" t="str">
        <f>Commodities!$C$18&amp;","&amp;Commodities!$C$37</f>
        <v>COMNGA,COMSNG</v>
      </c>
      <c r="G39" s="259" t="str">
        <f>Commodities!$C$46</f>
        <v>COMHRMB</v>
      </c>
      <c r="H39" s="230">
        <v>2011</v>
      </c>
      <c r="I39" s="250">
        <f>ROUNDUP(AB39/($O39*$P39)*$R39,1)</f>
        <v>916.9</v>
      </c>
      <c r="J39" s="250">
        <f>ROUNDUP(AC39/($O39*$P39)*$R39,1)</f>
        <v>0</v>
      </c>
      <c r="K39" s="250">
        <f>ROUNDUP(AD39/($O39*$P39)*$R39,1)</f>
        <v>0</v>
      </c>
      <c r="L39" s="463">
        <v>0.79</v>
      </c>
      <c r="M39" s="463">
        <v>0.79</v>
      </c>
      <c r="N39" s="463">
        <v>0.79</v>
      </c>
      <c r="O39" s="244">
        <f t="shared" si="27"/>
        <v>3.1536000000000002E-2</v>
      </c>
      <c r="P39" s="459">
        <v>0.15</v>
      </c>
      <c r="Q39" s="245">
        <v>25</v>
      </c>
      <c r="R39" s="227">
        <v>1.05</v>
      </c>
      <c r="T39" s="268">
        <f t="shared" si="5"/>
        <v>5.4902579240506331</v>
      </c>
      <c r="U39" s="268"/>
      <c r="V39" s="592" t="str">
        <f>'Data manipulation'!$B$36</f>
        <v>Natural gas and biogas</v>
      </c>
      <c r="W39" s="246" t="s">
        <v>168</v>
      </c>
      <c r="X39" s="246">
        <v>2011</v>
      </c>
      <c r="Y39" s="433">
        <f>_xlfn.IFNA(INDEX('Data manipulation'!$C$23:$O$39,MATCH($V39,'Data manipulation'!$B$23:$B$39,0),MATCH($X39,'Data manipulation'!$C$22:$O$22,0))/1000,0)*SUMIFS('Regional split'!$F$4:$F$6,'Regional split'!$B$4:$B$6,Y$3)*SUMIFS('Data manipulation'!$V$39:$V$42,'Data manipulation'!$X$39:$X$42,$E39,'Data manipulation'!$Y$39:$Y$42,$D39)</f>
        <v>5.2284043313246276</v>
      </c>
      <c r="Z39" s="270">
        <f>_xlfn.IFNA(INDEX('Data manipulation'!$C$23:$O$39,MATCH($V39,'Data manipulation'!$B$23:$B$39,0),MATCH($X39,'Data manipulation'!$C$22:$O$22,0))/1000,0)*SUMIFS('Regional split'!$F$4:$F$6,'Regional split'!$B$4:$B$6,Z$3)*SUMIFS('Data manipulation'!$V$39:$V$42,'Data manipulation'!$X$39:$X$42,$E39,'Data manipulation'!$Y$39:$Y$42,$D39)</f>
        <v>0</v>
      </c>
      <c r="AA39" s="455">
        <f>_xlfn.IFNA(INDEX('Data manipulation'!$C$23:$O$39,MATCH($V39,'Data manipulation'!$B$23:$B$39,0),MATCH($X39,'Data manipulation'!$C$22:$O$22,0))/1000,0)*SUMIFS('Regional split'!$F$4:$F$6,'Regional split'!$B$4:$B$6,AA$3)*SUMIFS('Data manipulation'!$V$39:$V$42,'Data manipulation'!$X$39:$X$42,$E39,'Data manipulation'!$Y$39:$Y$42,$D39)</f>
        <v>0</v>
      </c>
      <c r="AB39" s="444">
        <f t="shared" si="21"/>
        <v>4.1304394217464564</v>
      </c>
      <c r="AC39" s="278">
        <f t="shared" si="22"/>
        <v>0</v>
      </c>
      <c r="AD39" s="448">
        <f t="shared" si="23"/>
        <v>0</v>
      </c>
      <c r="BA39" s="252"/>
    </row>
    <row r="40" spans="2:53" ht="15" customHeight="1">
      <c r="B40" s="233" t="str">
        <f>Processes!D87</f>
        <v>CHTRMDSLE1</v>
      </c>
      <c r="C40" s="233" t="str">
        <f>Processes!E87</f>
        <v>Residential Heating Technology Rural Multi - Diesel - Existing 1</v>
      </c>
      <c r="D40" s="233" t="s">
        <v>715</v>
      </c>
      <c r="E40" s="233" t="s">
        <v>759</v>
      </c>
      <c r="F40" s="230" t="str">
        <f>Commodities!$C$21&amp;","&amp;Commodities!$C$38</f>
        <v>COMDSL,COMDSB</v>
      </c>
      <c r="G40" s="259" t="str">
        <f>Commodities!$C$46</f>
        <v>COMHRMB</v>
      </c>
      <c r="H40" s="230">
        <v>2011</v>
      </c>
      <c r="I40" s="250">
        <f t="shared" ref="I40:I47" si="32">ROUNDUP(AB40/($O40*$P40)*$R40,1)</f>
        <v>0</v>
      </c>
      <c r="J40" s="250">
        <f t="shared" ref="J40:J47" si="33">ROUNDUP(AC40/($O40*$P40)*$R40,1)</f>
        <v>0</v>
      </c>
      <c r="K40" s="250">
        <f t="shared" ref="K40:K47" si="34">ROUNDUP(AD40/($O40*$P40)*$R40,1)</f>
        <v>0</v>
      </c>
      <c r="L40" s="463">
        <v>0.79</v>
      </c>
      <c r="M40" s="463">
        <v>0.79</v>
      </c>
      <c r="N40" s="463">
        <v>0.79</v>
      </c>
      <c r="O40" s="244">
        <f t="shared" si="27"/>
        <v>3.1536000000000002E-2</v>
      </c>
      <c r="P40" s="459">
        <v>0.15</v>
      </c>
      <c r="Q40" s="245">
        <v>20</v>
      </c>
      <c r="R40" s="227">
        <v>1.05</v>
      </c>
      <c r="T40" s="268">
        <f t="shared" si="5"/>
        <v>0</v>
      </c>
      <c r="V40" s="592" t="str">
        <f>'Data manipulation'!$B$35</f>
        <v>Oil products</v>
      </c>
      <c r="W40" s="254" t="s">
        <v>729</v>
      </c>
      <c r="X40" s="246">
        <v>2011</v>
      </c>
      <c r="Y40" s="433">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5">
        <f>_xlfn.IFNA(INDEX('Data manipulation'!$C$23:$O$39,MATCH($V40,'Data manipulation'!$B$23:$B$39,0),MATCH($X40,'Data manipulation'!$C$22:$O$22,0))/1000,0)*SUMIFS('Regional split'!$F$4:$F$6,'Regional split'!$B$4:$B$6,AA$3)*SUMIFS('Data manipulation'!$V$39:$V$42,'Data manipulation'!$X$39:$X$42,$E40,'Data manipulation'!$Y$39:$Y$42,$D40)</f>
        <v>0</v>
      </c>
      <c r="AB40" s="444">
        <f t="shared" si="21"/>
        <v>0</v>
      </c>
      <c r="AC40" s="251">
        <f t="shared" si="22"/>
        <v>0</v>
      </c>
      <c r="AD40" s="445">
        <f t="shared" si="23"/>
        <v>0</v>
      </c>
      <c r="AV40" s="260"/>
      <c r="BA40" s="252"/>
    </row>
    <row r="41" spans="2:53" ht="15" customHeight="1">
      <c r="B41" s="233" t="str">
        <f>Processes!D88</f>
        <v>CHTRMWPEE1</v>
      </c>
      <c r="C41" s="233" t="str">
        <f>Processes!E88</f>
        <v>Residential Heating Technology Rural Multi - Wood pellets - Existing 1</v>
      </c>
      <c r="D41" s="233" t="s">
        <v>715</v>
      </c>
      <c r="E41" s="233" t="s">
        <v>759</v>
      </c>
      <c r="F41" s="230" t="str">
        <f>Commodities!$C$23</f>
        <v>COMWPE</v>
      </c>
      <c r="G41" s="259" t="str">
        <f>Commodities!$C$46</f>
        <v>COMHRMB</v>
      </c>
      <c r="H41" s="230">
        <v>2011</v>
      </c>
      <c r="I41" s="250">
        <f t="shared" si="32"/>
        <v>0</v>
      </c>
      <c r="J41" s="250">
        <f t="shared" si="33"/>
        <v>0</v>
      </c>
      <c r="K41" s="250">
        <f t="shared" si="34"/>
        <v>0</v>
      </c>
      <c r="L41" s="463">
        <v>0.67</v>
      </c>
      <c r="M41" s="463">
        <v>0.67</v>
      </c>
      <c r="N41" s="463">
        <v>0.67</v>
      </c>
      <c r="O41" s="244">
        <f>31.536/1000</f>
        <v>3.1536000000000002E-2</v>
      </c>
      <c r="P41" s="459">
        <v>0.15</v>
      </c>
      <c r="Q41" s="245">
        <v>20</v>
      </c>
      <c r="R41" s="227">
        <v>1.05</v>
      </c>
      <c r="T41" s="268">
        <f t="shared" si="5"/>
        <v>0</v>
      </c>
      <c r="U41" s="268"/>
      <c r="W41" s="254" t="s">
        <v>866</v>
      </c>
      <c r="X41" s="246">
        <v>2011</v>
      </c>
      <c r="Y41" s="433">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5">
        <f>_xlfn.IFNA(INDEX('Data manipulation'!$C$23:$O$39,MATCH($V41,'Data manipulation'!$B$23:$B$39,0),MATCH($X41,'Data manipulation'!$C$22:$O$22,0))/1000,0)*SUMIFS('Regional split'!$F$4:$F$6,'Regional split'!$B$4:$B$6,AA$3)*SUMIFS('Data manipulation'!$V$39:$V$42,'Data manipulation'!$X$39:$X$42,$E41,'Data manipulation'!$Y$39:$Y$42,$D41)</f>
        <v>0</v>
      </c>
      <c r="AB41" s="444">
        <f t="shared" si="21"/>
        <v>0</v>
      </c>
      <c r="AC41" s="251">
        <f t="shared" si="22"/>
        <v>0</v>
      </c>
      <c r="AD41" s="445">
        <f t="shared" si="23"/>
        <v>0</v>
      </c>
      <c r="AV41" s="260"/>
      <c r="BA41" s="253"/>
    </row>
    <row r="42" spans="2:53" ht="15" customHeight="1">
      <c r="B42" s="233" t="str">
        <f>Processes!D89</f>
        <v>CHTRMFIWE1</v>
      </c>
      <c r="C42" s="233" t="str">
        <f>Processes!E89</f>
        <v>Residential Heating Technology Rural Multi - Fire wood - Existing 1</v>
      </c>
      <c r="D42" s="233" t="s">
        <v>715</v>
      </c>
      <c r="E42" s="233" t="s">
        <v>759</v>
      </c>
      <c r="F42" s="230" t="str">
        <f>Commodities!$C$24</f>
        <v>COMFIW</v>
      </c>
      <c r="G42" s="259" t="str">
        <f>Commodities!$C$46</f>
        <v>COMHRMB</v>
      </c>
      <c r="H42" s="230">
        <v>2011</v>
      </c>
      <c r="I42" s="250">
        <f t="shared" si="32"/>
        <v>127.89999999999999</v>
      </c>
      <c r="J42" s="250">
        <f t="shared" si="33"/>
        <v>0</v>
      </c>
      <c r="K42" s="250">
        <f t="shared" si="34"/>
        <v>0</v>
      </c>
      <c r="L42" s="463">
        <v>0.67</v>
      </c>
      <c r="M42" s="463">
        <v>0.67</v>
      </c>
      <c r="N42" s="463">
        <v>0.67</v>
      </c>
      <c r="O42" s="244">
        <f>31.536/1000</f>
        <v>3.1536000000000002E-2</v>
      </c>
      <c r="P42" s="459">
        <v>0.15</v>
      </c>
      <c r="Q42" s="245">
        <v>20</v>
      </c>
      <c r="R42" s="227">
        <v>1.05</v>
      </c>
      <c r="T42" s="268">
        <f t="shared" si="5"/>
        <v>0.90301217910447751</v>
      </c>
      <c r="U42" s="268"/>
      <c r="V42" s="592" t="str">
        <f>'Data manipulation'!$B$31</f>
        <v>Primary solid biofuels</v>
      </c>
      <c r="W42" s="254" t="s">
        <v>177</v>
      </c>
      <c r="X42" s="246">
        <v>2011</v>
      </c>
      <c r="Y42" s="433">
        <f>_xlfn.IFNA(INDEX('Data manipulation'!$C$23:$O$39,MATCH($V42,'Data manipulation'!$B$23:$B$39,0),MATCH($X42,'Data manipulation'!$C$22:$O$22,0))/1000,0)*SUMIFS('Regional split'!$F$4:$F$6,'Regional split'!$B$4:$B$6,Y$3)*SUMIFS('Data manipulation'!$V$39:$V$42,'Data manipulation'!$X$39:$X$42,$E42,'Data manipulation'!$Y$39:$Y$42,$D42)</f>
        <v>0.85986444973586773</v>
      </c>
      <c r="Z42" s="270">
        <f>_xlfn.IFNA(INDEX('Data manipulation'!$C$23:$O$39,MATCH($V42,'Data manipulation'!$B$23:$B$39,0),MATCH($X42,'Data manipulation'!$C$22:$O$22,0))/1000,0)*SUMIFS('Regional split'!$F$4:$F$6,'Regional split'!$B$4:$B$6,Z$3)*SUMIFS('Data manipulation'!$V$39:$V$42,'Data manipulation'!$X$39:$X$42,$E42,'Data manipulation'!$Y$39:$Y$42,$D42)</f>
        <v>0</v>
      </c>
      <c r="AA42" s="455">
        <f>_xlfn.IFNA(INDEX('Data manipulation'!$C$23:$O$39,MATCH($V42,'Data manipulation'!$B$23:$B$39,0),MATCH($X42,'Data manipulation'!$C$22:$O$22,0))/1000,0)*SUMIFS('Regional split'!$F$4:$F$6,'Regional split'!$B$4:$B$6,AA$3)*SUMIFS('Data manipulation'!$V$39:$V$42,'Data manipulation'!$X$39:$X$42,$E42,'Data manipulation'!$Y$39:$Y$42,$D42)</f>
        <v>0</v>
      </c>
      <c r="AB42" s="444">
        <f t="shared" si="21"/>
        <v>0.57610918132303146</v>
      </c>
      <c r="AC42" s="251">
        <f t="shared" si="22"/>
        <v>0</v>
      </c>
      <c r="AD42" s="445">
        <f t="shared" si="23"/>
        <v>0</v>
      </c>
      <c r="AV42" s="260"/>
      <c r="BA42" s="253"/>
    </row>
    <row r="43" spans="2:53" ht="15" customHeight="1">
      <c r="B43" s="233" t="str">
        <f>Processes!D90</f>
        <v>CHTRMCOAE1</v>
      </c>
      <c r="C43" s="233" t="str">
        <f>Processes!E90</f>
        <v>Residential Heating Technology Rural Multi - Coal - Existing 1</v>
      </c>
      <c r="D43" s="233" t="s">
        <v>715</v>
      </c>
      <c r="E43" s="233" t="s">
        <v>759</v>
      </c>
      <c r="F43" s="230" t="str">
        <f>Commodities!$C$25</f>
        <v>COMCOA</v>
      </c>
      <c r="G43" s="259" t="str">
        <f>Commodities!$C$46</f>
        <v>COMHRMB</v>
      </c>
      <c r="H43" s="230">
        <v>2011</v>
      </c>
      <c r="I43" s="250">
        <f t="shared" si="32"/>
        <v>12.299999999999999</v>
      </c>
      <c r="J43" s="250">
        <f t="shared" si="33"/>
        <v>0</v>
      </c>
      <c r="K43" s="250">
        <f t="shared" si="34"/>
        <v>0</v>
      </c>
      <c r="L43" s="463">
        <v>0.72</v>
      </c>
      <c r="M43" s="463">
        <v>0.72</v>
      </c>
      <c r="N43" s="463">
        <v>0.72</v>
      </c>
      <c r="O43" s="244">
        <f t="shared" si="27"/>
        <v>3.1536000000000002E-2</v>
      </c>
      <c r="P43" s="459">
        <v>0.15</v>
      </c>
      <c r="Q43" s="245">
        <v>20</v>
      </c>
      <c r="R43" s="227">
        <v>1.05</v>
      </c>
      <c r="T43" s="268">
        <f t="shared" si="5"/>
        <v>8.0810999999999994E-2</v>
      </c>
      <c r="U43" s="268"/>
      <c r="V43" s="592" t="str">
        <f>'Data manipulation'!$B$23</f>
        <v>Solid fossil fuels, peat, peat products, oil shale and oil sands</v>
      </c>
      <c r="W43" s="254" t="s">
        <v>863</v>
      </c>
      <c r="X43" s="246">
        <v>2011</v>
      </c>
      <c r="Y43" s="433">
        <f>_xlfn.IFNA(INDEX('Data manipulation'!$C$23:$O$39,MATCH($V43,'Data manipulation'!$B$23:$B$39,0),MATCH($X43,'Data manipulation'!$C$22:$O$22,0))/1000,0)*SUMIFS('Regional split'!$F$4:$F$6,'Regional split'!$B$4:$B$6,Y$3)*SUMIFS('Data manipulation'!$V$39:$V$42,'Data manipulation'!$X$39:$X$42,$E43,'Data manipulation'!$Y$39:$Y$42,$D43)</f>
        <v>7.6875272999999994E-2</v>
      </c>
      <c r="Z43" s="270">
        <f>_xlfn.IFNA(INDEX('Data manipulation'!$C$23:$O$39,MATCH($V43,'Data manipulation'!$B$23:$B$39,0),MATCH($X43,'Data manipulation'!$C$22:$O$22,0))/1000,0)*SUMIFS('Regional split'!$F$4:$F$6,'Regional split'!$B$4:$B$6,Z$3)*SUMIFS('Data manipulation'!$V$39:$V$42,'Data manipulation'!$X$39:$X$42,$E43,'Data manipulation'!$Y$39:$Y$42,$D43)</f>
        <v>0</v>
      </c>
      <c r="AA43" s="455">
        <f>_xlfn.IFNA(INDEX('Data manipulation'!$C$23:$O$39,MATCH($V43,'Data manipulation'!$B$23:$B$39,0),MATCH($X43,'Data manipulation'!$C$22:$O$22,0))/1000,0)*SUMIFS('Regional split'!$F$4:$F$6,'Regional split'!$B$4:$B$6,AA$3)*SUMIFS('Data manipulation'!$V$39:$V$42,'Data manipulation'!$X$39:$X$42,$E43,'Data manipulation'!$Y$39:$Y$42,$D43)</f>
        <v>0</v>
      </c>
      <c r="AB43" s="444">
        <f t="shared" si="21"/>
        <v>5.5350196559999995E-2</v>
      </c>
      <c r="AC43" s="251">
        <f t="shared" si="22"/>
        <v>0</v>
      </c>
      <c r="AD43" s="445">
        <f t="shared" si="23"/>
        <v>0</v>
      </c>
      <c r="AV43" s="260"/>
      <c r="BA43" s="252"/>
    </row>
    <row r="44" spans="2:53" ht="15" customHeight="1">
      <c r="B44" s="233" t="str">
        <f>Processes!D91</f>
        <v>CHTRMSOLE1</v>
      </c>
      <c r="C44" s="233" t="str">
        <f>Processes!E91</f>
        <v>Residential Heating Technology Rural Multi - Solar - Existing 1</v>
      </c>
      <c r="D44" s="233" t="s">
        <v>715</v>
      </c>
      <c r="E44" s="233" t="s">
        <v>759</v>
      </c>
      <c r="F44" s="230" t="str">
        <f>Commodities!$C$27</f>
        <v>COMSOL</v>
      </c>
      <c r="G44" s="259" t="str">
        <f>Commodities!$C$46</f>
        <v>COMHRMB</v>
      </c>
      <c r="H44" s="230">
        <v>2011</v>
      </c>
      <c r="I44" s="250">
        <f t="shared" si="32"/>
        <v>0.7</v>
      </c>
      <c r="J44" s="250">
        <f t="shared" si="33"/>
        <v>0</v>
      </c>
      <c r="K44" s="250">
        <f t="shared" si="34"/>
        <v>0</v>
      </c>
      <c r="L44" s="463">
        <v>1</v>
      </c>
      <c r="M44" s="463">
        <v>1</v>
      </c>
      <c r="N44" s="463">
        <v>1</v>
      </c>
      <c r="O44" s="244">
        <f t="shared" si="27"/>
        <v>3.1536000000000002E-2</v>
      </c>
      <c r="P44" s="459">
        <v>0.15</v>
      </c>
      <c r="Q44" s="245">
        <v>20</v>
      </c>
      <c r="R44" s="227">
        <v>1.05</v>
      </c>
      <c r="T44" s="268">
        <f t="shared" si="5"/>
        <v>3.3112799999999998E-3</v>
      </c>
      <c r="U44" s="268"/>
      <c r="V44" s="592" t="str">
        <f>'Data manipulation'!$B$29</f>
        <v>Solar thermal</v>
      </c>
      <c r="W44" s="254" t="s">
        <v>169</v>
      </c>
      <c r="X44" s="246">
        <v>2011</v>
      </c>
      <c r="Y44" s="433">
        <f>_xlfn.IFNA(INDEX('Data manipulation'!$C$23:$O$39,MATCH($V44,'Data manipulation'!$B$23:$B$39,0),MATCH($X44,'Data manipulation'!$C$22:$O$22,0))/1000,0)*SUMIFS('Regional split'!$F$4:$F$6,'Regional split'!$B$4:$B$6,Y$3)*SUMIFS('Data manipulation'!$V$39:$V$42,'Data manipulation'!$X$39:$X$42,$E44,'Data manipulation'!$Y$39:$Y$42,$D44)</f>
        <v>2.8474159999999997E-3</v>
      </c>
      <c r="Z44" s="270">
        <f>_xlfn.IFNA(INDEX('Data manipulation'!$C$23:$O$39,MATCH($V44,'Data manipulation'!$B$23:$B$39,0),MATCH($X44,'Data manipulation'!$C$22:$O$22,0))/1000,0)*SUMIFS('Regional split'!$F$4:$F$6,'Regional split'!$B$4:$B$6,Z$3)*SUMIFS('Data manipulation'!$V$39:$V$42,'Data manipulation'!$X$39:$X$42,$E44,'Data manipulation'!$Y$39:$Y$42,$D44)</f>
        <v>0</v>
      </c>
      <c r="AA44" s="455">
        <f>_xlfn.IFNA(INDEX('Data manipulation'!$C$23:$O$39,MATCH($V44,'Data manipulation'!$B$23:$B$39,0),MATCH($X44,'Data manipulation'!$C$22:$O$22,0))/1000,0)*SUMIFS('Regional split'!$F$4:$F$6,'Regional split'!$B$4:$B$6,AA$3)*SUMIFS('Data manipulation'!$V$39:$V$42,'Data manipulation'!$X$39:$X$42,$E44,'Data manipulation'!$Y$39:$Y$42,$D44)</f>
        <v>0</v>
      </c>
      <c r="AB44" s="444">
        <f t="shared" si="21"/>
        <v>2.8474159999999997E-3</v>
      </c>
      <c r="AC44" s="251">
        <f t="shared" si="22"/>
        <v>0</v>
      </c>
      <c r="AD44" s="445">
        <f t="shared" si="23"/>
        <v>0</v>
      </c>
      <c r="AV44" s="260"/>
      <c r="BA44" s="252"/>
    </row>
    <row r="45" spans="2:53" ht="15" customHeight="1">
      <c r="B45" s="233" t="str">
        <f>Processes!D92</f>
        <v>CHTRMGEOE1</v>
      </c>
      <c r="C45" s="233" t="str">
        <f>Processes!E92</f>
        <v>Residential Heating Technology Rural Multi - Geothermal - Existing 1</v>
      </c>
      <c r="D45" s="233" t="s">
        <v>715</v>
      </c>
      <c r="E45" s="233" t="s">
        <v>759</v>
      </c>
      <c r="F45" s="230" t="str">
        <f>Commodities!$C$28</f>
        <v>COMGEO</v>
      </c>
      <c r="G45" s="259" t="str">
        <f>Commodities!$C$46</f>
        <v>COMHRMB</v>
      </c>
      <c r="H45" s="230">
        <v>2011</v>
      </c>
      <c r="I45" s="250">
        <f t="shared" si="32"/>
        <v>8</v>
      </c>
      <c r="J45" s="250">
        <f t="shared" si="33"/>
        <v>0</v>
      </c>
      <c r="K45" s="250">
        <f t="shared" si="34"/>
        <v>0</v>
      </c>
      <c r="L45" s="463">
        <v>1</v>
      </c>
      <c r="M45" s="463">
        <v>1</v>
      </c>
      <c r="N45" s="463">
        <v>1</v>
      </c>
      <c r="O45" s="244">
        <f t="shared" si="27"/>
        <v>3.1536000000000002E-2</v>
      </c>
      <c r="P45" s="459">
        <v>0.15</v>
      </c>
      <c r="Q45" s="245">
        <v>30</v>
      </c>
      <c r="R45" s="227">
        <v>1.05</v>
      </c>
      <c r="T45" s="268">
        <f t="shared" si="5"/>
        <v>3.78432E-2</v>
      </c>
      <c r="U45" s="268"/>
      <c r="V45" s="592" t="str">
        <f>'Data manipulation'!$B$38</f>
        <v>Geothermal</v>
      </c>
      <c r="W45" s="254" t="s">
        <v>170</v>
      </c>
      <c r="X45" s="246">
        <v>2011</v>
      </c>
      <c r="Y45" s="433">
        <f>_xlfn.IFNA(INDEX('Data manipulation'!$C$23:$O$39,MATCH($V45,'Data manipulation'!$B$23:$B$39,0),MATCH($X45,'Data manipulation'!$C$22:$O$22,0))/1000,0)*SUMIFS('Regional split'!$F$4:$F$6,'Regional split'!$B$4:$B$6,Y$3)*SUMIFS('Data manipulation'!$V$39:$V$42,'Data manipulation'!$X$39:$X$42,$E45,'Data manipulation'!$Y$39:$Y$42,$D45)</f>
        <v>3.5776999999999996E-2</v>
      </c>
      <c r="Z45" s="270">
        <f>_xlfn.IFNA(INDEX('Data manipulation'!$C$23:$O$39,MATCH($V45,'Data manipulation'!$B$23:$B$39,0),MATCH($X45,'Data manipulation'!$C$22:$O$22,0))/1000,0)*SUMIFS('Regional split'!$F$4:$F$6,'Regional split'!$B$4:$B$6,Z$3)*SUMIFS('Data manipulation'!$V$39:$V$42,'Data manipulation'!$X$39:$X$42,$E45,'Data manipulation'!$Y$39:$Y$42,$D45)</f>
        <v>0</v>
      </c>
      <c r="AA45" s="455">
        <f>_xlfn.IFNA(INDEX('Data manipulation'!$C$23:$O$39,MATCH($V45,'Data manipulation'!$B$23:$B$39,0),MATCH($X45,'Data manipulation'!$C$22:$O$22,0))/1000,0)*SUMIFS('Regional split'!$F$4:$F$6,'Regional split'!$B$4:$B$6,AA$3)*SUMIFS('Data manipulation'!$V$39:$V$42,'Data manipulation'!$X$39:$X$42,$E45,'Data manipulation'!$Y$39:$Y$42,$D45)</f>
        <v>0</v>
      </c>
      <c r="AB45" s="444">
        <f t="shared" ref="AB45" si="35">Y45*L45</f>
        <v>3.5776999999999996E-2</v>
      </c>
      <c r="AC45" s="251">
        <f t="shared" ref="AC45" si="36">Z45*M45</f>
        <v>0</v>
      </c>
      <c r="AD45" s="445">
        <f t="shared" ref="AD45" si="37">AA45*N45</f>
        <v>0</v>
      </c>
      <c r="AV45" s="260"/>
      <c r="BA45" s="252"/>
    </row>
    <row r="46" spans="2:53" ht="15" customHeight="1">
      <c r="B46" s="233" t="str">
        <f>Processes!D93</f>
        <v>CHTRMELCHE1</v>
      </c>
      <c r="C46" s="233" t="str">
        <f>Processes!E93</f>
        <v>Residential Heating Technology Rural Multi - Electricity Heating - Existing 1</v>
      </c>
      <c r="D46" s="233" t="s">
        <v>715</v>
      </c>
      <c r="E46" s="233" t="s">
        <v>759</v>
      </c>
      <c r="F46" s="230" t="str">
        <f>Commodities!$C$29</f>
        <v>COMELCH</v>
      </c>
      <c r="G46" s="259" t="str">
        <f>Commodities!$C$46</f>
        <v>COMHRMB</v>
      </c>
      <c r="H46" s="230">
        <v>2011</v>
      </c>
      <c r="I46" s="250">
        <f t="shared" si="32"/>
        <v>122.1</v>
      </c>
      <c r="J46" s="250">
        <f t="shared" si="33"/>
        <v>0</v>
      </c>
      <c r="K46" s="250">
        <f t="shared" si="34"/>
        <v>0</v>
      </c>
      <c r="L46" s="463">
        <v>1</v>
      </c>
      <c r="M46" s="463">
        <v>1</v>
      </c>
      <c r="N46" s="463">
        <v>1</v>
      </c>
      <c r="O46" s="244">
        <f t="shared" si="27"/>
        <v>3.1536000000000002E-2</v>
      </c>
      <c r="P46" s="459">
        <v>0.15</v>
      </c>
      <c r="Q46" s="245">
        <v>30</v>
      </c>
      <c r="R46" s="227">
        <v>1.05</v>
      </c>
      <c r="T46" s="268">
        <f t="shared" si="5"/>
        <v>0.5775818399999999</v>
      </c>
      <c r="U46" s="268"/>
      <c r="V46" s="592" t="str">
        <f>'Data manipulation'!$B$33</f>
        <v>Electricity</v>
      </c>
      <c r="W46" s="254" t="s">
        <v>170</v>
      </c>
      <c r="X46" s="246">
        <v>2011</v>
      </c>
      <c r="Y46" s="433">
        <f>_xlfn.IFNA(INDEX('Data manipulation'!$C$23:$O$39,MATCH($V46,'Data manipulation'!$B$23:$B$39,0),MATCH($X46,'Data manipulation'!$C$22:$O$22,0))/1000,0)*SUMIFS('Regional split'!$F$4:$F$6,'Regional split'!$B$4:$B$6,Y$3)*SUMIFS('Data manipulation'!$V$39:$V$42,'Data manipulation'!$X$39:$X$42,$E46,'Data manipulation'!$Y$39:$Y$42,$D46)</f>
        <v>0.54976858093909131</v>
      </c>
      <c r="Z46" s="270">
        <f>_xlfn.IFNA(INDEX('Data manipulation'!$C$23:$O$39,MATCH($V46,'Data manipulation'!$B$23:$B$39,0),MATCH($X46,'Data manipulation'!$C$22:$O$22,0))/1000,0)*SUMIFS('Regional split'!$F$4:$F$6,'Regional split'!$B$4:$B$6,Z$3)*SUMIFS('Data manipulation'!$V$39:$V$42,'Data manipulation'!$X$39:$X$42,$E46,'Data manipulation'!$Y$39:$Y$42,$D46)</f>
        <v>0</v>
      </c>
      <c r="AA46" s="455">
        <f>_xlfn.IFNA(INDEX('Data manipulation'!$C$23:$O$39,MATCH($V46,'Data manipulation'!$B$23:$B$39,0),MATCH($X46,'Data manipulation'!$C$22:$O$22,0))/1000,0)*SUMIFS('Regional split'!$F$4:$F$6,'Regional split'!$B$4:$B$6,AA$3)*SUMIFS('Data manipulation'!$V$39:$V$42,'Data manipulation'!$X$39:$X$42,$E46,'Data manipulation'!$Y$39:$Y$42,$D46)</f>
        <v>0</v>
      </c>
      <c r="AB46" s="444">
        <f t="shared" si="21"/>
        <v>0.54976858093909131</v>
      </c>
      <c r="AC46" s="251">
        <f t="shared" si="22"/>
        <v>0</v>
      </c>
      <c r="AD46" s="445">
        <f t="shared" si="23"/>
        <v>0</v>
      </c>
      <c r="AV46" s="260"/>
      <c r="BA46" s="252"/>
    </row>
    <row r="47" spans="2:53" ht="15" customHeight="1">
      <c r="B47" s="233" t="str">
        <f>Processes!D94</f>
        <v>CHTRMELCHE2</v>
      </c>
      <c r="C47" s="233" t="str">
        <f>Processes!E94</f>
        <v>Residential Heating Technology Rural Multi - Electricity Heating - Existing 2</v>
      </c>
      <c r="D47" s="233" t="s">
        <v>715</v>
      </c>
      <c r="E47" s="233" t="s">
        <v>759</v>
      </c>
      <c r="F47" s="230" t="str">
        <f>Commodities!$C$29</f>
        <v>COMELCH</v>
      </c>
      <c r="G47" s="259" t="str">
        <f>Commodities!$C$46</f>
        <v>COMHRMB</v>
      </c>
      <c r="H47" s="230">
        <v>2011</v>
      </c>
      <c r="I47" s="250">
        <f t="shared" si="32"/>
        <v>14.4</v>
      </c>
      <c r="J47" s="250">
        <f t="shared" si="33"/>
        <v>0</v>
      </c>
      <c r="K47" s="250">
        <f t="shared" si="34"/>
        <v>0</v>
      </c>
      <c r="L47" s="463">
        <v>2.3149999999999999</v>
      </c>
      <c r="M47" s="463">
        <v>2.3149999999999999</v>
      </c>
      <c r="N47" s="463">
        <v>2.3149999999999999</v>
      </c>
      <c r="O47" s="244">
        <f t="shared" si="27"/>
        <v>3.1536000000000002E-2</v>
      </c>
      <c r="P47" s="459">
        <v>0.15</v>
      </c>
      <c r="Q47" s="245">
        <v>30</v>
      </c>
      <c r="R47" s="227">
        <v>1.05</v>
      </c>
      <c r="T47" s="268">
        <f t="shared" si="5"/>
        <v>2.9424518358531319E-2</v>
      </c>
      <c r="U47" s="268"/>
      <c r="V47" s="592" t="str">
        <f>'Data manipulation'!$B$30</f>
        <v>Ambient heat (heat pumps)</v>
      </c>
      <c r="W47" s="254" t="s">
        <v>171</v>
      </c>
      <c r="X47" s="246">
        <v>2011</v>
      </c>
      <c r="Y47" s="433">
        <f>_xlfn.IFNA(INDEX('Data manipulation'!$C$23:$O$39,MATCH($V47,'Data manipulation'!$B$23:$B$39,0),MATCH($X47,'Data manipulation'!$C$22:$O$22,0))/1000,0)*SUMIFS('Regional split'!$F$4:$F$6,'Regional split'!$B$4:$B$6,Y$3)*SUMIFS('Data manipulation'!$V$39:$V$42,'Data manipulation'!$X$39:$X$42,$E47,'Data manipulation'!$Y$39:$Y$42,$D47)</f>
        <v>2.7923350000000003E-2</v>
      </c>
      <c r="Z47" s="270">
        <f>_xlfn.IFNA(INDEX('Data manipulation'!$C$23:$O$39,MATCH($V47,'Data manipulation'!$B$23:$B$39,0),MATCH($X47,'Data manipulation'!$C$22:$O$22,0))/1000,0)*SUMIFS('Regional split'!$F$4:$F$6,'Regional split'!$B$4:$B$6,Z$3)*SUMIFS('Data manipulation'!$V$39:$V$42,'Data manipulation'!$X$39:$X$42,$E47,'Data manipulation'!$Y$39:$Y$42,$D47)</f>
        <v>0</v>
      </c>
      <c r="AA47" s="455">
        <f>_xlfn.IFNA(INDEX('Data manipulation'!$C$23:$O$39,MATCH($V47,'Data manipulation'!$B$23:$B$39,0),MATCH($X47,'Data manipulation'!$C$22:$O$22,0))/1000,0)*SUMIFS('Regional split'!$F$4:$F$6,'Regional split'!$B$4:$B$6,AA$3)*SUMIFS('Data manipulation'!$V$39:$V$42,'Data manipulation'!$X$39:$X$42,$E47,'Data manipulation'!$Y$39:$Y$42,$D47)</f>
        <v>0</v>
      </c>
      <c r="AB47" s="444">
        <f t="shared" si="21"/>
        <v>6.4642555250000011E-2</v>
      </c>
      <c r="AC47" s="251">
        <f t="shared" si="22"/>
        <v>0</v>
      </c>
      <c r="AD47" s="445">
        <f t="shared" si="23"/>
        <v>0</v>
      </c>
      <c r="AV47" s="260"/>
      <c r="BA47" s="252"/>
    </row>
    <row r="48" spans="2:53" ht="15" customHeight="1">
      <c r="B48" s="233" t="str">
        <f>Processes!D95</f>
        <v>CHTRMHCEE1</v>
      </c>
      <c r="C48" s="233" t="str">
        <f>Processes!E95</f>
        <v>Residential Heating Technology Rural Multi - District heating Central - Existing 1</v>
      </c>
      <c r="D48" s="233" t="s">
        <v>715</v>
      </c>
      <c r="E48" s="233" t="s">
        <v>759</v>
      </c>
      <c r="F48" s="230" t="str">
        <f>Commodities!$C$36</f>
        <v>COMHDE</v>
      </c>
      <c r="G48" s="261" t="str">
        <f>Commodities!$C$42</f>
        <v>COMHRMX</v>
      </c>
      <c r="H48" s="230">
        <v>2011</v>
      </c>
      <c r="I48" s="568">
        <v>0</v>
      </c>
      <c r="J48" s="568">
        <v>0</v>
      </c>
      <c r="K48" s="568">
        <v>0</v>
      </c>
      <c r="L48" s="463">
        <v>0.98</v>
      </c>
      <c r="M48" s="463">
        <v>0.98</v>
      </c>
      <c r="N48" s="463">
        <v>0.98</v>
      </c>
      <c r="O48" s="244">
        <f t="shared" si="27"/>
        <v>3.1536000000000002E-2</v>
      </c>
      <c r="P48" s="459">
        <v>0.15</v>
      </c>
      <c r="Q48" s="245">
        <v>30</v>
      </c>
      <c r="R48" s="227">
        <v>1.05</v>
      </c>
      <c r="T48" s="268">
        <f t="shared" si="5"/>
        <v>0</v>
      </c>
      <c r="U48" s="268"/>
      <c r="V48" s="592" t="str">
        <f>'Data manipulation'!$B$34</f>
        <v>Heat</v>
      </c>
      <c r="W48" s="254" t="s">
        <v>172</v>
      </c>
      <c r="X48" s="246">
        <v>2011</v>
      </c>
      <c r="Y48" s="433">
        <f>_xlfn.IFNA(INDEX('Data manipulation'!$C$23:$O$39,MATCH($V48,'Data manipulation'!$B$23:$B$39,0),MATCH($X48,'Data manipulation'!$C$22:$O$22,0))/1000,0)*SUMIFS('Regional split'!$F$4:$F$6,'Regional split'!$B$4:$B$6,Y$3)*SUMIFS('Data manipulation'!$V$39:$V$42,'Data manipulation'!$X$39:$X$42,$E48,'Data manipulation'!$Y$39:$Y$42,$D48)</f>
        <v>1.4738904554425727</v>
      </c>
      <c r="Z48" s="270">
        <f>_xlfn.IFNA(INDEX('Data manipulation'!$C$23:$O$39,MATCH($V48,'Data manipulation'!$B$23:$B$39,0),MATCH($X48,'Data manipulation'!$C$22:$O$22,0))/1000,0)*SUMIFS('Regional split'!$F$4:$F$6,'Regional split'!$B$4:$B$6,Z$3)*SUMIFS('Data manipulation'!$V$39:$V$42,'Data manipulation'!$X$39:$X$42,$E48,'Data manipulation'!$Y$39:$Y$42,$D48)</f>
        <v>0</v>
      </c>
      <c r="AA48" s="455">
        <f>_xlfn.IFNA(INDEX('Data manipulation'!$C$23:$O$39,MATCH($V48,'Data manipulation'!$B$23:$B$39,0),MATCH($X48,'Data manipulation'!$C$22:$O$22,0))/1000,0)*SUMIFS('Regional split'!$F$4:$F$6,'Regional split'!$B$4:$B$6,AA$3)*SUMIFS('Data manipulation'!$V$39:$V$42,'Data manipulation'!$X$39:$X$42,$E48,'Data manipulation'!$Y$39:$Y$42,$D48)</f>
        <v>0</v>
      </c>
      <c r="AB48" s="444">
        <f t="shared" si="21"/>
        <v>1.4444126463337212</v>
      </c>
      <c r="AC48" s="251">
        <f t="shared" si="22"/>
        <v>0</v>
      </c>
      <c r="AD48" s="445">
        <f t="shared" si="23"/>
        <v>0</v>
      </c>
      <c r="AV48" s="260"/>
      <c r="BA48" s="253"/>
    </row>
    <row r="49" spans="2:53" ht="15" customHeight="1" thickBot="1">
      <c r="B49" s="552" t="str">
        <f>Processes!D96</f>
        <v>CHTRMLPGE1</v>
      </c>
      <c r="C49" s="552" t="str">
        <f>Processes!E96</f>
        <v>Residential Heating Technology Rural Multi - LPG - Existing 1</v>
      </c>
      <c r="D49" s="534" t="s">
        <v>715</v>
      </c>
      <c r="E49" s="534" t="s">
        <v>759</v>
      </c>
      <c r="F49" s="533" t="str">
        <f>F38</f>
        <v>COMLPG</v>
      </c>
      <c r="G49" s="425" t="str">
        <f>G47</f>
        <v>COMHRMB</v>
      </c>
      <c r="H49" s="230">
        <v>2011</v>
      </c>
      <c r="I49" s="297">
        <f t="shared" ref="I49" si="38">ROUNDUP(AB49/($O49*$P49)*$R49,1)</f>
        <v>53.9</v>
      </c>
      <c r="J49" s="297">
        <f t="shared" ref="J49" si="39">ROUNDUP(AC49/($O49*$P49)*$R49,1)</f>
        <v>0</v>
      </c>
      <c r="K49" s="297">
        <f t="shared" ref="K49" si="40">ROUNDUP(AD49/($O49*$P49)*$R49,1)</f>
        <v>0</v>
      </c>
      <c r="L49" s="465">
        <v>0.98</v>
      </c>
      <c r="M49" s="465">
        <v>0.98</v>
      </c>
      <c r="N49" s="465">
        <v>0.98</v>
      </c>
      <c r="O49" s="426">
        <f t="shared" si="27"/>
        <v>3.1536000000000002E-2</v>
      </c>
      <c r="P49" s="461">
        <v>0.15</v>
      </c>
      <c r="Q49" s="427">
        <v>30</v>
      </c>
      <c r="R49" s="227">
        <v>1.05</v>
      </c>
      <c r="T49" s="268">
        <f t="shared" si="5"/>
        <v>0.26017200000000001</v>
      </c>
      <c r="U49" s="268"/>
      <c r="V49" s="593" t="str">
        <f>'Data manipulation'!$B$25</f>
        <v>Liquefied natural gas</v>
      </c>
      <c r="W49" s="428" t="s">
        <v>771</v>
      </c>
      <c r="X49" s="246">
        <v>2011</v>
      </c>
      <c r="Y49" s="435">
        <f>_xlfn.IFNA(INDEX('Data manipulation'!$C$23:$O$39,MATCH($V49,'Data manipulation'!$B$23:$B$39,0),MATCH($X49,'Data manipulation'!$C$22:$O$22,0))/1000,0)*SUMIFS('Regional split'!$F$4:$F$6,'Regional split'!$B$4:$B$6,Y$3)*SUMIFS('Data manipulation'!$V$39:$V$42,'Data manipulation'!$X$39:$X$42,$E49,'Data manipulation'!$Y$39:$Y$42,$D49)</f>
        <v>0.2475390926248052</v>
      </c>
      <c r="Z49" s="429">
        <f>_xlfn.IFNA(INDEX('Data manipulation'!$C$23:$O$39,MATCH($V49,'Data manipulation'!$B$23:$B$39,0),MATCH($X49,'Data manipulation'!$C$22:$O$22,0))/1000,0)*SUMIFS('Regional split'!$F$4:$F$6,'Regional split'!$B$4:$B$6,Z$3)*SUMIFS('Data manipulation'!$V$39:$V$42,'Data manipulation'!$X$39:$X$42,$E49,'Data manipulation'!$Y$39:$Y$42,$D49)</f>
        <v>0</v>
      </c>
      <c r="AA49" s="457">
        <f>_xlfn.IFNA(INDEX('Data manipulation'!$C$23:$O$39,MATCH($V49,'Data manipulation'!$B$23:$B$39,0),MATCH($X49,'Data manipulation'!$C$22:$O$22,0))/1000,0)*SUMIFS('Regional split'!$F$4:$F$6,'Regional split'!$B$4:$B$6,AA$3)*SUMIFS('Data manipulation'!$V$39:$V$42,'Data manipulation'!$X$39:$X$42,$E49,'Data manipulation'!$Y$39:$Y$42,$D49)</f>
        <v>0</v>
      </c>
      <c r="AB49" s="449">
        <f t="shared" si="21"/>
        <v>0.24258831077230908</v>
      </c>
      <c r="AC49" s="430">
        <f t="shared" si="22"/>
        <v>0</v>
      </c>
      <c r="AD49" s="450">
        <f t="shared" si="23"/>
        <v>0</v>
      </c>
      <c r="AV49" s="260"/>
      <c r="BA49" s="252"/>
    </row>
    <row r="50" spans="2:53" ht="15" customHeight="1">
      <c r="B50" s="227" t="str">
        <f>B6</f>
        <v>CHTUDNGAE1</v>
      </c>
      <c r="C50" s="227" t="str">
        <f>C6</f>
        <v>Residential Heating Technology Urban Detached - Natural Gas - Existing 1</v>
      </c>
      <c r="D50" s="227" t="str">
        <f>D6</f>
        <v>Urban</v>
      </c>
      <c r="E50" s="227" t="str">
        <f>E6</f>
        <v>Detached</v>
      </c>
      <c r="F50" s="227" t="str">
        <f>F6</f>
        <v>COMNGA,COMSNG,COMBGA</v>
      </c>
      <c r="G50" s="227" t="str">
        <f>G6</f>
        <v>COMHUDB</v>
      </c>
      <c r="H50" s="230">
        <v>2015</v>
      </c>
      <c r="I50" s="250">
        <f>ROUNDUP(AB50/($O50*$P50)*$R50,1)</f>
        <v>14712.1</v>
      </c>
      <c r="J50" s="250">
        <f>ROUNDUP(AC50/($O50*$P50)*$R50,1)</f>
        <v>0</v>
      </c>
      <c r="K50" s="250">
        <f>ROUNDUP(AD50/($O50*$P50)*$R50,1)</f>
        <v>0</v>
      </c>
      <c r="L50" s="463">
        <v>0.72</v>
      </c>
      <c r="M50" s="463">
        <v>0.72</v>
      </c>
      <c r="N50" s="463">
        <v>0.72</v>
      </c>
      <c r="O50" s="244">
        <f>31.536/1000</f>
        <v>3.1536000000000002E-2</v>
      </c>
      <c r="P50" s="459">
        <v>0.15</v>
      </c>
      <c r="Q50" s="245">
        <v>22</v>
      </c>
      <c r="R50" s="227">
        <v>1.0900000000000001</v>
      </c>
      <c r="T50" s="268">
        <f t="shared" si="5"/>
        <v>96.658496999999997</v>
      </c>
      <c r="U50" s="268"/>
      <c r="V50" s="592" t="str">
        <f>'Data manipulation'!$B$36</f>
        <v>Natural gas and biogas</v>
      </c>
      <c r="W50" s="246" t="s">
        <v>168</v>
      </c>
      <c r="X50" s="246">
        <v>2015</v>
      </c>
      <c r="Y50" s="433">
        <f>_xlfn.IFNA(INDEX('Data manipulation'!$C$23:$O$39,MATCH($V50,'Data manipulation'!$B$23:$B$39,0),MATCH($X50,'Data manipulation'!$C$22:$O$22,0))/1000,0)*SUMIFS('Regional split'!$F$4:$F$6,'Regional split'!$B$4:$B$6,Y$3)*SUMIFS('Data manipulation'!$V$39:$V$42,'Data manipulation'!$X$39:$X$42,$E50,'Data manipulation'!$Y$39:$Y$42,$D50)</f>
        <v>88.677346799830318</v>
      </c>
      <c r="Z50" s="270">
        <f>_xlfn.IFNA(INDEX('Data manipulation'!$C$23:$O$39,MATCH($V50,'Data manipulation'!$B$23:$B$39,0),MATCH($X50,'Data manipulation'!$C$22:$O$22,0))/1000,0)*SUMIFS('Regional split'!$F$4:$F$6,'Regional split'!$B$4:$B$6,Z$3)*SUMIFS('Data manipulation'!$V$39:$V$42,'Data manipulation'!$X$39:$X$42,$E50,'Data manipulation'!$Y$39:$Y$42,$D50)</f>
        <v>0</v>
      </c>
      <c r="AA50" s="455">
        <f>_xlfn.IFNA(INDEX('Data manipulation'!$C$23:$O$39,MATCH($V50,'Data manipulation'!$B$23:$B$39,0),MATCH($X50,'Data manipulation'!$C$22:$O$22,0))/1000,0)*SUMIFS('Regional split'!$F$4:$F$6,'Regional split'!$B$4:$B$6,AA$3)*SUMIFS('Data manipulation'!$V$39:$V$42,'Data manipulation'!$X$39:$X$42,$E50,'Data manipulation'!$Y$39:$Y$42,$D50)</f>
        <v>0</v>
      </c>
      <c r="AB50" s="444">
        <f>Y50*L50</f>
        <v>63.847689695877825</v>
      </c>
      <c r="AC50" s="251">
        <f t="shared" si="0"/>
        <v>0</v>
      </c>
      <c r="AD50" s="445">
        <f t="shared" si="1"/>
        <v>0</v>
      </c>
      <c r="AE50" s="262"/>
      <c r="AU50" s="260"/>
      <c r="AZ50" s="252"/>
    </row>
    <row r="51" spans="2:53" ht="15" customHeight="1">
      <c r="B51" s="227" t="str">
        <f>B7</f>
        <v>CHTUDDSLE1</v>
      </c>
      <c r="C51" s="227" t="str">
        <f>C7</f>
        <v>Residential Heating Technology Urban Detached - Diesel - Existing 1</v>
      </c>
      <c r="D51" s="227" t="str">
        <f>D7</f>
        <v>Urban</v>
      </c>
      <c r="E51" s="227" t="str">
        <f>E7</f>
        <v>Detached</v>
      </c>
      <c r="F51" s="227" t="str">
        <f>F7</f>
        <v>COMDSL,COMDSB</v>
      </c>
      <c r="G51" s="227" t="str">
        <f>G7</f>
        <v>COMHUDB</v>
      </c>
      <c r="H51" s="230">
        <v>2015</v>
      </c>
      <c r="I51" s="250">
        <f t="shared" ref="I51:I58" si="41">ROUNDUP(AB51/($O51*$P51)*$R51,1)</f>
        <v>0</v>
      </c>
      <c r="J51" s="250">
        <f t="shared" ref="J51:J57" si="42">ROUNDUP(AC51/($O51*$P51)*$R51,1)</f>
        <v>0</v>
      </c>
      <c r="K51" s="250">
        <f t="shared" ref="K51:K57" si="43">ROUNDUP(AD51/($O51*$P51)*$R51,1)</f>
        <v>0</v>
      </c>
      <c r="L51" s="463">
        <v>0.71</v>
      </c>
      <c r="M51" s="463">
        <v>0.71</v>
      </c>
      <c r="N51" s="463">
        <v>0.71</v>
      </c>
      <c r="O51" s="244">
        <f>31.536/1000</f>
        <v>3.1536000000000002E-2</v>
      </c>
      <c r="P51" s="459">
        <v>0.15</v>
      </c>
      <c r="Q51" s="245">
        <v>20</v>
      </c>
      <c r="R51" s="227">
        <v>1.0900000000000001</v>
      </c>
      <c r="T51" s="268">
        <f t="shared" si="5"/>
        <v>0</v>
      </c>
      <c r="V51" s="592" t="str">
        <f>'Data manipulation'!$B$35</f>
        <v>Oil products</v>
      </c>
      <c r="W51" s="254" t="s">
        <v>729</v>
      </c>
      <c r="X51" s="246">
        <v>2015</v>
      </c>
      <c r="Y51" s="433">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5">
        <f>_xlfn.IFNA(INDEX('Data manipulation'!$C$23:$O$39,MATCH($V51,'Data manipulation'!$B$23:$B$39,0),MATCH($X51,'Data manipulation'!$C$22:$O$22,0))/1000,0)*SUMIFS('Regional split'!$F$4:$F$6,'Regional split'!$B$4:$B$6,AA$3)*SUMIFS('Data manipulation'!$V$39:$V$42,'Data manipulation'!$X$39:$X$42,$E51,'Data manipulation'!$Y$39:$Y$42,$D51)</f>
        <v>0</v>
      </c>
      <c r="AB51" s="444">
        <f t="shared" si="6"/>
        <v>0</v>
      </c>
      <c r="AC51" s="251">
        <f t="shared" si="0"/>
        <v>0</v>
      </c>
      <c r="AD51" s="445">
        <f t="shared" si="1"/>
        <v>0</v>
      </c>
      <c r="AE51" s="262"/>
      <c r="AU51" s="260"/>
      <c r="AZ51" s="252"/>
    </row>
    <row r="52" spans="2:53" ht="15" customHeight="1">
      <c r="B52" s="227" t="str">
        <f>B8</f>
        <v>CHTUDWPEE1</v>
      </c>
      <c r="C52" s="227" t="str">
        <f>C8</f>
        <v>Residential Heating Technology Urban Detached - Wood pellets - Existing 1</v>
      </c>
      <c r="D52" s="227" t="str">
        <f>D8</f>
        <v>Urban</v>
      </c>
      <c r="E52" s="227" t="str">
        <f>E8</f>
        <v>Detached</v>
      </c>
      <c r="F52" s="227" t="str">
        <f>F8</f>
        <v>COMWPE</v>
      </c>
      <c r="G52" s="227" t="str">
        <f>G8</f>
        <v>COMHUDB</v>
      </c>
      <c r="H52" s="230">
        <v>2015</v>
      </c>
      <c r="I52" s="250">
        <f t="shared" si="41"/>
        <v>0</v>
      </c>
      <c r="J52" s="250">
        <f t="shared" si="42"/>
        <v>0</v>
      </c>
      <c r="K52" s="250">
        <f t="shared" si="43"/>
        <v>0</v>
      </c>
      <c r="L52" s="463">
        <v>0.61</v>
      </c>
      <c r="M52" s="463">
        <v>0.61</v>
      </c>
      <c r="N52" s="463">
        <v>0.61</v>
      </c>
      <c r="O52" s="244">
        <f t="shared" ref="O52:O69" si="44">31.536/1000</f>
        <v>3.1536000000000002E-2</v>
      </c>
      <c r="P52" s="459">
        <v>0.15</v>
      </c>
      <c r="Q52" s="245">
        <v>20</v>
      </c>
      <c r="R52" s="227">
        <v>1.0900000000000001</v>
      </c>
      <c r="T52" s="268">
        <f t="shared" si="5"/>
        <v>0</v>
      </c>
      <c r="U52" s="268"/>
      <c r="W52" s="254" t="s">
        <v>866</v>
      </c>
      <c r="X52" s="246">
        <v>2015</v>
      </c>
      <c r="Y52" s="433">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5">
        <f>_xlfn.IFNA(INDEX('Data manipulation'!$C$23:$O$39,MATCH($V52,'Data manipulation'!$B$23:$B$39,0),MATCH($X52,'Data manipulation'!$C$22:$O$22,0))/1000,0)*SUMIFS('Regional split'!$F$4:$F$6,'Regional split'!$B$4:$B$6,AA$3)*SUMIFS('Data manipulation'!$V$39:$V$42,'Data manipulation'!$X$39:$X$42,$E52,'Data manipulation'!$Y$39:$Y$42,$D52)</f>
        <v>0</v>
      </c>
      <c r="AB52" s="444">
        <f t="shared" si="6"/>
        <v>0</v>
      </c>
      <c r="AC52" s="251">
        <f t="shared" si="0"/>
        <v>0</v>
      </c>
      <c r="AD52" s="445">
        <f t="shared" si="1"/>
        <v>0</v>
      </c>
      <c r="AE52" s="262"/>
      <c r="AU52" s="260"/>
      <c r="AZ52" s="252"/>
    </row>
    <row r="53" spans="2:53" ht="15" customHeight="1">
      <c r="B53" s="227" t="str">
        <f>B9</f>
        <v>CHTUDFIWE1</v>
      </c>
      <c r="C53" s="227" t="str">
        <f>C9</f>
        <v>Residential Heating Technology Urban Detached - Fire wood - Existing 1</v>
      </c>
      <c r="D53" s="227" t="str">
        <f>D9</f>
        <v>Urban</v>
      </c>
      <c r="E53" s="227" t="str">
        <f>E9</f>
        <v>Detached</v>
      </c>
      <c r="F53" s="227" t="str">
        <f>F9</f>
        <v>COMFIW</v>
      </c>
      <c r="G53" s="227" t="str">
        <f>G9</f>
        <v>COMHUDB</v>
      </c>
      <c r="H53" s="230">
        <v>2015</v>
      </c>
      <c r="I53" s="250">
        <f t="shared" si="41"/>
        <v>1935.5</v>
      </c>
      <c r="J53" s="250">
        <f t="shared" si="42"/>
        <v>0</v>
      </c>
      <c r="K53" s="250">
        <f t="shared" si="43"/>
        <v>0</v>
      </c>
      <c r="L53" s="463">
        <v>0.65000022993955098</v>
      </c>
      <c r="M53" s="463">
        <v>0.65000022993955098</v>
      </c>
      <c r="N53" s="463">
        <v>0.65000022993955098</v>
      </c>
      <c r="O53" s="244">
        <f t="shared" si="44"/>
        <v>3.1536000000000002E-2</v>
      </c>
      <c r="P53" s="459">
        <v>0.15</v>
      </c>
      <c r="Q53" s="245">
        <v>20</v>
      </c>
      <c r="R53" s="227">
        <v>1.0900000000000001</v>
      </c>
      <c r="T53" s="268">
        <f t="shared" si="5"/>
        <v>14.085670709457233</v>
      </c>
      <c r="U53" s="268"/>
      <c r="V53" s="592" t="str">
        <f>'Data manipulation'!$B$31</f>
        <v>Primary solid biofuels</v>
      </c>
      <c r="W53" s="254" t="s">
        <v>177</v>
      </c>
      <c r="X53" s="246">
        <v>2015</v>
      </c>
      <c r="Y53" s="433">
        <f>_xlfn.IFNA(INDEX('Data manipulation'!$C$23:$O$39,MATCH($V53,'Data manipulation'!$B$23:$B$39,0),MATCH($X53,'Data manipulation'!$C$22:$O$22,0))/1000,0)*SUMIFS('Regional split'!$F$4:$F$6,'Regional split'!$B$4:$B$6,Y$3)*SUMIFS('Data manipulation'!$V$39:$V$42,'Data manipulation'!$X$39:$X$42,$E53,'Data manipulation'!$Y$39:$Y$42,$D53)</f>
        <v>12.922442137490622</v>
      </c>
      <c r="Z53" s="270">
        <f>_xlfn.IFNA(INDEX('Data manipulation'!$C$23:$O$39,MATCH($V53,'Data manipulation'!$B$23:$B$39,0),MATCH($X53,'Data manipulation'!$C$22:$O$22,0))/1000,0)*SUMIFS('Regional split'!$F$4:$F$6,'Regional split'!$B$4:$B$6,Z$3)*SUMIFS('Data manipulation'!$V$39:$V$42,'Data manipulation'!$X$39:$X$42,$E53,'Data manipulation'!$Y$39:$Y$42,$D53)</f>
        <v>0</v>
      </c>
      <c r="AA53" s="455">
        <f>_xlfn.IFNA(INDEX('Data manipulation'!$C$23:$O$39,MATCH($V53,'Data manipulation'!$B$23:$B$39,0),MATCH($X53,'Data manipulation'!$C$22:$O$22,0))/1000,0)*SUMIFS('Regional split'!$F$4:$F$6,'Regional split'!$B$4:$B$6,AA$3)*SUMIFS('Data manipulation'!$V$39:$V$42,'Data manipulation'!$X$39:$X$42,$E53,'Data manipulation'!$Y$39:$Y$42,$D53)</f>
        <v>0</v>
      </c>
      <c r="AB53" s="444">
        <f t="shared" si="6"/>
        <v>8.3995903607494462</v>
      </c>
      <c r="AC53" s="251">
        <f t="shared" si="0"/>
        <v>0</v>
      </c>
      <c r="AD53" s="445">
        <f t="shared" si="1"/>
        <v>0</v>
      </c>
      <c r="AE53" s="262"/>
      <c r="AU53" s="260"/>
      <c r="AZ53" s="252"/>
    </row>
    <row r="54" spans="2:53" ht="15" customHeight="1">
      <c r="B54" s="233" t="str">
        <f>B10</f>
        <v>CHTUDCOAE1</v>
      </c>
      <c r="C54" s="233" t="str">
        <f>C10</f>
        <v>Residential Heating Technology Urban Detached - Coal - Existing 1</v>
      </c>
      <c r="D54" s="233" t="str">
        <f>D10</f>
        <v>Urban</v>
      </c>
      <c r="E54" s="233" t="str">
        <f>E10</f>
        <v>Detached</v>
      </c>
      <c r="F54" s="233" t="str">
        <f>F10</f>
        <v>COMCOA</v>
      </c>
      <c r="G54" s="233" t="str">
        <f>G10</f>
        <v>COMHUDB</v>
      </c>
      <c r="H54" s="230">
        <v>2015</v>
      </c>
      <c r="I54" s="250">
        <f t="shared" si="41"/>
        <v>334.20000000000005</v>
      </c>
      <c r="J54" s="250">
        <f t="shared" si="42"/>
        <v>0</v>
      </c>
      <c r="K54" s="250">
        <f t="shared" si="43"/>
        <v>0</v>
      </c>
      <c r="L54" s="463">
        <v>0.7</v>
      </c>
      <c r="M54" s="463">
        <v>0.7</v>
      </c>
      <c r="N54" s="463">
        <v>0.7</v>
      </c>
      <c r="O54" s="244">
        <f t="shared" si="44"/>
        <v>3.1536000000000002E-2</v>
      </c>
      <c r="P54" s="459">
        <v>0.15</v>
      </c>
      <c r="Q54" s="245">
        <v>20</v>
      </c>
      <c r="R54" s="227">
        <v>1.0900000000000001</v>
      </c>
      <c r="T54" s="268">
        <f t="shared" si="5"/>
        <v>2.2584281142857145</v>
      </c>
      <c r="U54" s="268"/>
      <c r="V54" s="592" t="str">
        <f>'Data manipulation'!$B$23</f>
        <v>Solid fossil fuels, peat, peat products, oil shale and oil sands</v>
      </c>
      <c r="W54" s="254" t="s">
        <v>863</v>
      </c>
      <c r="X54" s="246">
        <v>2015</v>
      </c>
      <c r="Y54" s="433">
        <f>_xlfn.IFNA(INDEX('Data manipulation'!$C$23:$O$39,MATCH($V54,'Data manipulation'!$B$23:$B$39,0),MATCH($X54,'Data manipulation'!$C$22:$O$22,0))/1000,0)*SUMIFS('Regional split'!$F$4:$F$6,'Regional split'!$B$4:$B$6,Y$3)*SUMIFS('Data manipulation'!$V$39:$V$42,'Data manipulation'!$X$39:$X$42,$E54,'Data manipulation'!$Y$39:$Y$42,$D54)</f>
        <v>2.0717895799999999</v>
      </c>
      <c r="Z54" s="270">
        <f>_xlfn.IFNA(INDEX('Data manipulation'!$C$23:$O$39,MATCH($V54,'Data manipulation'!$B$23:$B$39,0),MATCH($X54,'Data manipulation'!$C$22:$O$22,0))/1000,0)*SUMIFS('Regional split'!$F$4:$F$6,'Regional split'!$B$4:$B$6,Z$3)*SUMIFS('Data manipulation'!$V$39:$V$42,'Data manipulation'!$X$39:$X$42,$E54,'Data manipulation'!$Y$39:$Y$42,$D54)</f>
        <v>0</v>
      </c>
      <c r="AA54" s="455">
        <f>_xlfn.IFNA(INDEX('Data manipulation'!$C$23:$O$39,MATCH($V54,'Data manipulation'!$B$23:$B$39,0),MATCH($X54,'Data manipulation'!$C$22:$O$22,0))/1000,0)*SUMIFS('Regional split'!$F$4:$F$6,'Regional split'!$B$4:$B$6,AA$3)*SUMIFS('Data manipulation'!$V$39:$V$42,'Data manipulation'!$X$39:$X$42,$E54,'Data manipulation'!$Y$39:$Y$42,$D54)</f>
        <v>0</v>
      </c>
      <c r="AB54" s="444">
        <f t="shared" si="6"/>
        <v>1.4502527059999999</v>
      </c>
      <c r="AC54" s="251">
        <f t="shared" si="0"/>
        <v>0</v>
      </c>
      <c r="AD54" s="445">
        <f t="shared" si="1"/>
        <v>0</v>
      </c>
      <c r="AE54" s="262"/>
      <c r="AU54" s="260"/>
      <c r="AZ54" s="252"/>
    </row>
    <row r="55" spans="2:53" ht="15" customHeight="1">
      <c r="B55" s="233" t="str">
        <f>B11</f>
        <v>CHTUDSOLE1</v>
      </c>
      <c r="C55" s="233" t="str">
        <f>C11</f>
        <v>Residential Heating Technology Urban Detached - Solar - Existing 1</v>
      </c>
      <c r="D55" s="233" t="str">
        <f>D11</f>
        <v>Urban</v>
      </c>
      <c r="E55" s="233" t="str">
        <f>E11</f>
        <v>Detached</v>
      </c>
      <c r="F55" s="233" t="str">
        <f>F11</f>
        <v>COMSOL</v>
      </c>
      <c r="G55" s="233" t="str">
        <f>G11</f>
        <v>COMHUDB</v>
      </c>
      <c r="H55" s="230">
        <v>2015</v>
      </c>
      <c r="I55" s="250">
        <f t="shared" si="41"/>
        <v>9.9</v>
      </c>
      <c r="J55" s="250">
        <f t="shared" si="42"/>
        <v>0</v>
      </c>
      <c r="K55" s="250">
        <f t="shared" si="43"/>
        <v>0</v>
      </c>
      <c r="L55" s="463">
        <v>1</v>
      </c>
      <c r="M55" s="463">
        <v>1</v>
      </c>
      <c r="N55" s="463">
        <v>1</v>
      </c>
      <c r="O55" s="244">
        <f t="shared" si="44"/>
        <v>3.1536000000000002E-2</v>
      </c>
      <c r="P55" s="459">
        <v>0.15</v>
      </c>
      <c r="Q55" s="245">
        <v>20</v>
      </c>
      <c r="R55" s="227">
        <v>1.0900000000000001</v>
      </c>
      <c r="T55" s="268">
        <f t="shared" si="5"/>
        <v>4.6830960000000005E-2</v>
      </c>
      <c r="U55" s="268"/>
      <c r="V55" s="592" t="str">
        <f>'Data manipulation'!$B$29</f>
        <v>Solar thermal</v>
      </c>
      <c r="W55" s="254" t="s">
        <v>169</v>
      </c>
      <c r="X55" s="246">
        <v>2015</v>
      </c>
      <c r="Y55" s="433">
        <f>_xlfn.IFNA(INDEX('Data manipulation'!$C$23:$O$39,MATCH($V55,'Data manipulation'!$B$23:$B$39,0),MATCH($X55,'Data manipulation'!$C$22:$O$22,0))/1000,0)*SUMIFS('Regional split'!$F$4:$F$6,'Regional split'!$B$4:$B$6,Y$3)*SUMIFS('Data manipulation'!$V$39:$V$42,'Data manipulation'!$X$39:$X$42,$E55,'Data manipulation'!$Y$39:$Y$42,$D55)</f>
        <v>4.2674429000000014E-2</v>
      </c>
      <c r="Z55" s="270">
        <f>_xlfn.IFNA(INDEX('Data manipulation'!$C$23:$O$39,MATCH($V55,'Data manipulation'!$B$23:$B$39,0),MATCH($X55,'Data manipulation'!$C$22:$O$22,0))/1000,0)*SUMIFS('Regional split'!$F$4:$F$6,'Regional split'!$B$4:$B$6,Z$3)*SUMIFS('Data manipulation'!$V$39:$V$42,'Data manipulation'!$X$39:$X$42,$E55,'Data manipulation'!$Y$39:$Y$42,$D55)</f>
        <v>0</v>
      </c>
      <c r="AA55" s="455">
        <f>_xlfn.IFNA(INDEX('Data manipulation'!$C$23:$O$39,MATCH($V55,'Data manipulation'!$B$23:$B$39,0),MATCH($X55,'Data manipulation'!$C$22:$O$22,0))/1000,0)*SUMIFS('Regional split'!$F$4:$F$6,'Regional split'!$B$4:$B$6,AA$3)*SUMIFS('Data manipulation'!$V$39:$V$42,'Data manipulation'!$X$39:$X$42,$E55,'Data manipulation'!$Y$39:$Y$42,$D55)</f>
        <v>0</v>
      </c>
      <c r="AB55" s="444">
        <f t="shared" si="6"/>
        <v>4.2674429000000014E-2</v>
      </c>
      <c r="AC55" s="251">
        <f t="shared" si="0"/>
        <v>0</v>
      </c>
      <c r="AD55" s="445">
        <f t="shared" si="1"/>
        <v>0</v>
      </c>
      <c r="AE55" s="262"/>
      <c r="AU55" s="260"/>
      <c r="AZ55" s="252"/>
    </row>
    <row r="56" spans="2:53" ht="15" customHeight="1">
      <c r="B56" s="233" t="str">
        <f>B13</f>
        <v>CHTUDELCHE1</v>
      </c>
      <c r="C56" s="233" t="str">
        <f>C13</f>
        <v>Residential Heating Technology Urban Detached - Electricity Heating - Existing 1</v>
      </c>
      <c r="D56" s="233" t="str">
        <f>D13</f>
        <v>Urban</v>
      </c>
      <c r="E56" s="233" t="str">
        <f>E13</f>
        <v>Detached</v>
      </c>
      <c r="F56" s="233" t="str">
        <f>F13</f>
        <v>COMELCH</v>
      </c>
      <c r="G56" s="233" t="str">
        <f>G13</f>
        <v>COMHUDB</v>
      </c>
      <c r="H56" s="230">
        <v>2015</v>
      </c>
      <c r="I56" s="250">
        <f t="shared" si="41"/>
        <v>1851.8999999999999</v>
      </c>
      <c r="J56" s="250">
        <f t="shared" si="42"/>
        <v>0</v>
      </c>
      <c r="K56" s="250">
        <f t="shared" si="43"/>
        <v>0</v>
      </c>
      <c r="L56" s="463">
        <v>1</v>
      </c>
      <c r="M56" s="463">
        <v>1</v>
      </c>
      <c r="N56" s="463">
        <v>1</v>
      </c>
      <c r="O56" s="244">
        <f t="shared" si="44"/>
        <v>3.1536000000000002E-2</v>
      </c>
      <c r="P56" s="459">
        <v>0.15</v>
      </c>
      <c r="Q56" s="245">
        <v>30</v>
      </c>
      <c r="R56" s="227">
        <v>1.0900000000000001</v>
      </c>
      <c r="T56" s="268">
        <f t="shared" si="5"/>
        <v>8.7602277599999994</v>
      </c>
      <c r="U56" s="268"/>
      <c r="V56" s="592" t="str">
        <f>'Data manipulation'!$B$33</f>
        <v>Electricity</v>
      </c>
      <c r="W56" s="254" t="s">
        <v>170</v>
      </c>
      <c r="X56" s="246">
        <v>2015</v>
      </c>
      <c r="Y56" s="433">
        <f>_xlfn.IFNA(INDEX('Data manipulation'!$C$23:$O$39,MATCH($V56,'Data manipulation'!$B$23:$B$39,0),MATCH($X56,'Data manipulation'!$C$22:$O$22,0))/1000,0)*SUMIFS('Regional split'!$F$4:$F$6,'Regional split'!$B$4:$B$6,Y$3)*SUMIFS('Data manipulation'!$V$39:$V$42,'Data manipulation'!$X$39:$X$42,$E56,'Data manipulation'!$Y$39:$Y$42,$D56)</f>
        <v>8.0365347244608394</v>
      </c>
      <c r="Z56" s="270">
        <f>_xlfn.IFNA(INDEX('Data manipulation'!$C$23:$O$39,MATCH($V56,'Data manipulation'!$B$23:$B$39,0),MATCH($X56,'Data manipulation'!$C$22:$O$22,0))/1000,0)*SUMIFS('Regional split'!$F$4:$F$6,'Regional split'!$B$4:$B$6,Z$3)*SUMIFS('Data manipulation'!$V$39:$V$42,'Data manipulation'!$X$39:$X$42,$E56,'Data manipulation'!$Y$39:$Y$42,$D56)</f>
        <v>0</v>
      </c>
      <c r="AA56" s="455">
        <f>_xlfn.IFNA(INDEX('Data manipulation'!$C$23:$O$39,MATCH($V56,'Data manipulation'!$B$23:$B$39,0),MATCH($X56,'Data manipulation'!$C$22:$O$22,0))/1000,0)*SUMIFS('Regional split'!$F$4:$F$6,'Regional split'!$B$4:$B$6,AA$3)*SUMIFS('Data manipulation'!$V$39:$V$42,'Data manipulation'!$X$39:$X$42,$E56,'Data manipulation'!$Y$39:$Y$42,$D56)</f>
        <v>0</v>
      </c>
      <c r="AB56" s="444">
        <f t="shared" si="6"/>
        <v>8.0365347244608394</v>
      </c>
      <c r="AC56" s="251">
        <f t="shared" si="0"/>
        <v>0</v>
      </c>
      <c r="AD56" s="445">
        <f t="shared" si="1"/>
        <v>0</v>
      </c>
      <c r="AU56" s="260"/>
      <c r="AZ56" s="252"/>
    </row>
    <row r="57" spans="2:53" ht="15" customHeight="1">
      <c r="B57" s="233" t="str">
        <f>B14</f>
        <v>CHTUDELCHE2</v>
      </c>
      <c r="C57" s="233" t="str">
        <f>C14</f>
        <v>Residential Heating Technology Urban Detached - Electricity Heating - Existing 2</v>
      </c>
      <c r="D57" s="233" t="str">
        <f>D14</f>
        <v>Urban</v>
      </c>
      <c r="E57" s="233" t="str">
        <f>E14</f>
        <v>Detached</v>
      </c>
      <c r="F57" s="233" t="str">
        <f>F14</f>
        <v>COMELCH</v>
      </c>
      <c r="G57" s="233" t="str">
        <f>G14</f>
        <v>COMHUDB</v>
      </c>
      <c r="H57" s="230">
        <v>2015</v>
      </c>
      <c r="I57" s="250">
        <f t="shared" si="41"/>
        <v>320.8</v>
      </c>
      <c r="J57" s="250">
        <f t="shared" si="42"/>
        <v>0</v>
      </c>
      <c r="K57" s="250">
        <f t="shared" si="43"/>
        <v>0</v>
      </c>
      <c r="L57" s="463">
        <v>2.3149999999999999</v>
      </c>
      <c r="M57" s="463">
        <v>2.3149999999999999</v>
      </c>
      <c r="N57" s="463">
        <v>2.3149999999999999</v>
      </c>
      <c r="O57" s="244">
        <f t="shared" si="44"/>
        <v>3.1536000000000002E-2</v>
      </c>
      <c r="P57" s="459">
        <v>0.15</v>
      </c>
      <c r="Q57" s="245">
        <v>30</v>
      </c>
      <c r="R57" s="227">
        <v>1.0900000000000001</v>
      </c>
      <c r="T57" s="268">
        <f t="shared" si="5"/>
        <v>0.65551288120950335</v>
      </c>
      <c r="U57" s="268"/>
      <c r="V57" s="592" t="str">
        <f>'Data manipulation'!$B$30</f>
        <v>Ambient heat (heat pumps)</v>
      </c>
      <c r="W57" s="254" t="s">
        <v>171</v>
      </c>
      <c r="X57" s="246">
        <v>2015</v>
      </c>
      <c r="Y57" s="433">
        <f>_xlfn.IFNA(INDEX('Data manipulation'!$C$23:$O$39,MATCH($V57,'Data manipulation'!$B$23:$B$39,0),MATCH($X57,'Data manipulation'!$C$22:$O$22,0))/1000,0)*SUMIFS('Regional split'!$F$4:$F$6,'Regional split'!$B$4:$B$6,Y$3)*SUMIFS('Data manipulation'!$V$39:$V$42,'Data manipulation'!$X$39:$X$42,$E57,'Data manipulation'!$Y$39:$Y$42,$D57)</f>
        <v>0.60120424000000006</v>
      </c>
      <c r="Z57" s="270">
        <f>_xlfn.IFNA(INDEX('Data manipulation'!$C$23:$O$39,MATCH($V57,'Data manipulation'!$B$23:$B$39,0),MATCH($X57,'Data manipulation'!$C$22:$O$22,0))/1000,0)*SUMIFS('Regional split'!$F$4:$F$6,'Regional split'!$B$4:$B$6,Z$3)*SUMIFS('Data manipulation'!$V$39:$V$42,'Data manipulation'!$X$39:$X$42,$E57,'Data manipulation'!$Y$39:$Y$42,$D57)</f>
        <v>0</v>
      </c>
      <c r="AA57" s="455">
        <f>_xlfn.IFNA(INDEX('Data manipulation'!$C$23:$O$39,MATCH($V57,'Data manipulation'!$B$23:$B$39,0),MATCH($X57,'Data manipulation'!$C$22:$O$22,0))/1000,0)*SUMIFS('Regional split'!$F$4:$F$6,'Regional split'!$B$4:$B$6,AA$3)*SUMIFS('Data manipulation'!$V$39:$V$42,'Data manipulation'!$X$39:$X$42,$E57,'Data manipulation'!$Y$39:$Y$42,$D57)</f>
        <v>0</v>
      </c>
      <c r="AB57" s="444">
        <f t="shared" si="6"/>
        <v>1.3917878156000001</v>
      </c>
      <c r="AC57" s="251">
        <f t="shared" si="0"/>
        <v>0</v>
      </c>
      <c r="AD57" s="445">
        <f t="shared" si="1"/>
        <v>0</v>
      </c>
      <c r="AU57" s="260"/>
      <c r="AZ57" s="252"/>
    </row>
    <row r="58" spans="2:53" ht="15" customHeight="1">
      <c r="B58" s="233" t="str">
        <f>B15</f>
        <v>CHTUDHCEE1</v>
      </c>
      <c r="C58" s="233" t="str">
        <f>C15</f>
        <v>Residential Heating Technology Urban Detached - District heating Central - Existing 1</v>
      </c>
      <c r="D58" s="233" t="str">
        <f>D15</f>
        <v>Urban</v>
      </c>
      <c r="E58" s="233" t="str">
        <f>E15</f>
        <v>Detached</v>
      </c>
      <c r="F58" s="233" t="str">
        <f>F15</f>
        <v>COMHCE</v>
      </c>
      <c r="G58" s="233" t="str">
        <f>G15</f>
        <v>COMHUDX</v>
      </c>
      <c r="H58" s="230">
        <v>2015</v>
      </c>
      <c r="I58" s="250">
        <f t="shared" si="41"/>
        <v>2985.5</v>
      </c>
      <c r="J58" s="568">
        <v>0</v>
      </c>
      <c r="K58" s="568">
        <v>0</v>
      </c>
      <c r="L58" s="463">
        <v>0.95</v>
      </c>
      <c r="M58" s="463">
        <v>0.95</v>
      </c>
      <c r="N58" s="463">
        <v>0.95</v>
      </c>
      <c r="O58" s="244">
        <f t="shared" si="44"/>
        <v>3.1536000000000002E-2</v>
      </c>
      <c r="P58" s="459">
        <v>0.15</v>
      </c>
      <c r="Q58" s="245">
        <v>30</v>
      </c>
      <c r="R58" s="227">
        <v>1.05</v>
      </c>
      <c r="T58" s="268">
        <f t="shared" si="5"/>
        <v>14.865904421052631</v>
      </c>
      <c r="U58" s="268"/>
      <c r="V58" s="592" t="str">
        <f>'Data manipulation'!$B$34</f>
        <v>Heat</v>
      </c>
      <c r="W58" s="254" t="s">
        <v>172</v>
      </c>
      <c r="X58" s="246">
        <v>2015</v>
      </c>
      <c r="Y58" s="433">
        <f>_xlfn.IFNA(INDEX('Data manipulation'!$C$23:$O$39,MATCH($V58,'Data manipulation'!$B$23:$B$39,0),MATCH($X58,'Data manipulation'!$C$22:$O$22,0))/1000,0)*SUMIFS('Regional split'!$F$4:$F$6,'Regional split'!$B$4:$B$6,Y$3)*SUMIFS('Data manipulation'!$V$39:$V$42,'Data manipulation'!$X$39:$X$42,$E58,'Data manipulation'!$Y$39:$Y$42,$D58)</f>
        <v>14.157603397699015</v>
      </c>
      <c r="Z58" s="270">
        <f>_xlfn.IFNA(INDEX('Data manipulation'!$C$23:$O$39,MATCH($V58,'Data manipulation'!$B$23:$B$39,0),MATCH($X58,'Data manipulation'!$C$22:$O$22,0))/1000,0)*SUMIFS('Regional split'!$F$4:$F$6,'Regional split'!$B$4:$B$6,Z$3)*SUMIFS('Data manipulation'!$V$39:$V$42,'Data manipulation'!$X$39:$X$42,$E58,'Data manipulation'!$Y$39:$Y$42,$D58)</f>
        <v>0</v>
      </c>
      <c r="AA58" s="455">
        <f>_xlfn.IFNA(INDEX('Data manipulation'!$C$23:$O$39,MATCH($V58,'Data manipulation'!$B$23:$B$39,0),MATCH($X58,'Data manipulation'!$C$22:$O$22,0))/1000,0)*SUMIFS('Regional split'!$F$4:$F$6,'Regional split'!$B$4:$B$6,AA$3)*SUMIFS('Data manipulation'!$V$39:$V$42,'Data manipulation'!$X$39:$X$42,$E58,'Data manipulation'!$Y$39:$Y$42,$D58)</f>
        <v>0</v>
      </c>
      <c r="AB58" s="444">
        <f t="shared" si="6"/>
        <v>13.449723227814063</v>
      </c>
      <c r="AC58" s="251">
        <f t="shared" si="0"/>
        <v>0</v>
      </c>
      <c r="AD58" s="445">
        <f t="shared" si="1"/>
        <v>0</v>
      </c>
      <c r="AU58" s="260"/>
      <c r="AZ58" s="252"/>
    </row>
    <row r="59" spans="2:53" ht="15" customHeight="1" thickBot="1">
      <c r="B59" s="255" t="str">
        <f>B16</f>
        <v>CHTUDLPGE1</v>
      </c>
      <c r="C59" s="255" t="str">
        <f>C16</f>
        <v>Residential Heating Technology Urban Detached - LPG - Existing 1</v>
      </c>
      <c r="D59" s="531" t="str">
        <f>D16</f>
        <v>Urban</v>
      </c>
      <c r="E59" s="531" t="str">
        <f>E16</f>
        <v>Detached</v>
      </c>
      <c r="F59" s="255" t="str">
        <f>F16</f>
        <v>COMLPG</v>
      </c>
      <c r="G59" s="255" t="str">
        <f>G16</f>
        <v>COMHUDB</v>
      </c>
      <c r="H59" s="423">
        <v>2015</v>
      </c>
      <c r="I59" s="297">
        <f t="shared" ref="I59" si="45">ROUNDUP(AB59/($O59*$P59)*$R59,1)</f>
        <v>701.6</v>
      </c>
      <c r="J59" s="297">
        <f t="shared" ref="J59" si="46">ROUNDUP(AC59/($O59*$P59)*$R59,1)</f>
        <v>0</v>
      </c>
      <c r="K59" s="297">
        <f t="shared" ref="K59" si="47">ROUNDUP(AD59/($O59*$P59)*$R59,1)</f>
        <v>0</v>
      </c>
      <c r="L59" s="464">
        <v>0.95</v>
      </c>
      <c r="M59" s="464">
        <v>0.95</v>
      </c>
      <c r="N59" s="464">
        <v>0.95</v>
      </c>
      <c r="O59" s="257">
        <f t="shared" si="44"/>
        <v>3.1536000000000002E-2</v>
      </c>
      <c r="P59" s="460">
        <v>0.15</v>
      </c>
      <c r="Q59" s="258">
        <v>30</v>
      </c>
      <c r="R59" s="227">
        <v>1.0900000000000001</v>
      </c>
      <c r="T59" s="268">
        <f t="shared" si="5"/>
        <v>3.4935248842105264</v>
      </c>
      <c r="U59" s="268"/>
      <c r="V59" s="593" t="str">
        <f>'Data manipulation'!$B$25</f>
        <v>Liquefied natural gas</v>
      </c>
      <c r="W59" s="428" t="s">
        <v>771</v>
      </c>
      <c r="X59" s="246">
        <v>2015</v>
      </c>
      <c r="Y59" s="434">
        <f>_xlfn.IFNA(INDEX('Data manipulation'!$C$23:$O$39,MATCH($V59,'Data manipulation'!$B$23:$B$39,0),MATCH($X59,'Data manipulation'!$C$22:$O$22,0))/1000,0)*SUMIFS('Regional split'!$F$4:$F$6,'Regional split'!$B$4:$B$6,Y$3)*SUMIFS('Data manipulation'!$V$39:$V$42,'Data manipulation'!$X$39:$X$42,$E59,'Data manipulation'!$Y$39:$Y$42,$D59)</f>
        <v>3.2050646800594036</v>
      </c>
      <c r="Z59" s="431">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51">
        <f t="shared" si="6"/>
        <v>3.0448114460564333</v>
      </c>
      <c r="AC59" s="277">
        <f t="shared" si="0"/>
        <v>0</v>
      </c>
      <c r="AD59" s="447">
        <f t="shared" si="1"/>
        <v>0</v>
      </c>
      <c r="AU59" s="260"/>
      <c r="AZ59" s="252"/>
    </row>
    <row r="60" spans="2:53" ht="15" customHeight="1">
      <c r="B60" s="233" t="str">
        <f>B17</f>
        <v>CHTRDNGAE1</v>
      </c>
      <c r="C60" s="233" t="str">
        <f>C17</f>
        <v>Residential Heating Technology Rural Detached - Natural Gas - Existing 1</v>
      </c>
      <c r="D60" s="233" t="str">
        <f>D17</f>
        <v>Rural</v>
      </c>
      <c r="E60" s="233" t="str">
        <f>E17</f>
        <v>Detached</v>
      </c>
      <c r="F60" s="233" t="str">
        <f>F17</f>
        <v>COMNGA,COMSNG</v>
      </c>
      <c r="G60" s="233" t="str">
        <f>G17</f>
        <v>COMHRDB</v>
      </c>
      <c r="H60" s="259">
        <v>2015</v>
      </c>
      <c r="I60" s="250">
        <f>ROUNDUP(AB60/($O60*$P60)*$R60,1)</f>
        <v>26164</v>
      </c>
      <c r="J60" s="250">
        <f>ROUNDUP(AC60/($O60*$P60)*$R60,1)</f>
        <v>0</v>
      </c>
      <c r="K60" s="250">
        <f>ROUNDUP(AD60/($O60*$P60)*$R60,1)</f>
        <v>0</v>
      </c>
      <c r="L60" s="463">
        <v>0.79</v>
      </c>
      <c r="M60" s="463">
        <v>0.79</v>
      </c>
      <c r="N60" s="463">
        <v>0.79</v>
      </c>
      <c r="O60" s="244">
        <f t="shared" si="44"/>
        <v>3.1536000000000002E-2</v>
      </c>
      <c r="P60" s="459">
        <v>0.15</v>
      </c>
      <c r="Q60" s="245">
        <v>25</v>
      </c>
      <c r="R60" s="227">
        <v>1.0900000000000001</v>
      </c>
      <c r="T60" s="268">
        <f t="shared" si="5"/>
        <v>156.66605772151897</v>
      </c>
      <c r="U60" s="268"/>
      <c r="V60" s="592" t="str">
        <f>'Data manipulation'!$B$36</f>
        <v>Natural gas and biogas</v>
      </c>
      <c r="W60" s="246" t="s">
        <v>168</v>
      </c>
      <c r="X60" s="246">
        <v>2015</v>
      </c>
      <c r="Y60" s="433">
        <f>_xlfn.IFNA(INDEX('Data manipulation'!$C$23:$O$39,MATCH($V60,'Data manipulation'!$B$23:$B$39,0),MATCH($X60,'Data manipulation'!$C$22:$O$22,0))/1000,0)*SUMIFS('Regional split'!$F$4:$F$6,'Regional split'!$B$4:$B$6,Y$3)*SUMIFS('Data manipulation'!$V$39:$V$42,'Data manipulation'!$X$39:$X$42,$E60,'Data manipulation'!$Y$39:$Y$42,$D60)</f>
        <v>143.72982603987367</v>
      </c>
      <c r="Z60" s="270">
        <f>_xlfn.IFNA(INDEX('Data manipulation'!$C$23:$O$39,MATCH($V60,'Data manipulation'!$B$23:$B$39,0),MATCH($X60,'Data manipulation'!$C$22:$O$22,0))/1000,0)*SUMIFS('Regional split'!$F$4:$F$6,'Regional split'!$B$4:$B$6,Z$3)*SUMIFS('Data manipulation'!$V$39:$V$42,'Data manipulation'!$X$39:$X$42,$E60,'Data manipulation'!$Y$39:$Y$42,$D60)</f>
        <v>0</v>
      </c>
      <c r="AA60" s="455">
        <f>_xlfn.IFNA(INDEX('Data manipulation'!$C$23:$O$39,MATCH($V60,'Data manipulation'!$B$23:$B$39,0),MATCH($X60,'Data manipulation'!$C$22:$O$22,0))/1000,0)*SUMIFS('Regional split'!$F$4:$F$6,'Regional split'!$B$4:$B$6,AA$3)*SUMIFS('Data manipulation'!$V$39:$V$42,'Data manipulation'!$X$39:$X$42,$E60,'Data manipulation'!$Y$39:$Y$42,$D60)</f>
        <v>0</v>
      </c>
      <c r="AB60" s="452">
        <f t="shared" si="6"/>
        <v>113.5465625715002</v>
      </c>
      <c r="AC60" s="278">
        <f t="shared" si="0"/>
        <v>0</v>
      </c>
      <c r="AD60" s="448">
        <f t="shared" si="1"/>
        <v>0</v>
      </c>
      <c r="AU60" s="260"/>
      <c r="AZ60" s="252"/>
    </row>
    <row r="61" spans="2:53" ht="15" customHeight="1">
      <c r="B61" s="233" t="str">
        <f>B18</f>
        <v>CHTRDDSLE1</v>
      </c>
      <c r="C61" s="233" t="str">
        <f>C18</f>
        <v>Residential Heating Technology Rural Detached - Diesel - Existing 1</v>
      </c>
      <c r="D61" s="233" t="str">
        <f>D18</f>
        <v>Rural</v>
      </c>
      <c r="E61" s="233" t="str">
        <f>E18</f>
        <v>Detached</v>
      </c>
      <c r="F61" s="233" t="str">
        <f>F18</f>
        <v>COMDSL,COMDSB</v>
      </c>
      <c r="G61" s="233" t="str">
        <f>G18</f>
        <v>COMHRDB</v>
      </c>
      <c r="H61" s="259">
        <v>2015</v>
      </c>
      <c r="I61" s="250">
        <f>ROUNDUP(AB61/($O61*$P61)*$R61,1)</f>
        <v>0</v>
      </c>
      <c r="J61" s="250">
        <f t="shared" ref="J61:J67" si="48">ROUNDUP(AC61/($O61*$P61)*$R61,1)</f>
        <v>0</v>
      </c>
      <c r="K61" s="250">
        <f t="shared" ref="K61:K67" si="49">ROUNDUP(AD61/($O61*$P61)*$R61,1)</f>
        <v>0</v>
      </c>
      <c r="L61" s="463">
        <v>0.79</v>
      </c>
      <c r="M61" s="463">
        <v>0.79</v>
      </c>
      <c r="N61" s="463">
        <v>0.79</v>
      </c>
      <c r="O61" s="244">
        <f t="shared" si="44"/>
        <v>3.1536000000000002E-2</v>
      </c>
      <c r="P61" s="459">
        <v>0.15</v>
      </c>
      <c r="Q61" s="245">
        <v>20</v>
      </c>
      <c r="R61" s="227">
        <v>1.0900000000000001</v>
      </c>
      <c r="T61" s="268">
        <f t="shared" si="5"/>
        <v>0</v>
      </c>
      <c r="V61" s="592" t="str">
        <f>'Data manipulation'!$B$35</f>
        <v>Oil products</v>
      </c>
      <c r="W61" s="254" t="s">
        <v>729</v>
      </c>
      <c r="X61" s="246">
        <v>2015</v>
      </c>
      <c r="Y61" s="433">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5">
        <f>_xlfn.IFNA(INDEX('Data manipulation'!$C$23:$O$39,MATCH($V61,'Data manipulation'!$B$23:$B$39,0),MATCH($X61,'Data manipulation'!$C$22:$O$22,0))/1000,0)*SUMIFS('Regional split'!$F$4:$F$6,'Regional split'!$B$4:$B$6,AA$3)*SUMIFS('Data manipulation'!$V$39:$V$42,'Data manipulation'!$X$39:$X$42,$E61,'Data manipulation'!$Y$39:$Y$42,$D61)</f>
        <v>0</v>
      </c>
      <c r="AB61" s="444">
        <f t="shared" si="6"/>
        <v>0</v>
      </c>
      <c r="AC61" s="251">
        <f t="shared" si="0"/>
        <v>0</v>
      </c>
      <c r="AD61" s="445">
        <f t="shared" si="1"/>
        <v>0</v>
      </c>
      <c r="AU61" s="260"/>
      <c r="AZ61" s="252"/>
    </row>
    <row r="62" spans="2:53" ht="15" customHeight="1">
      <c r="B62" s="233" t="str">
        <f>B19</f>
        <v>CHTRDWPEE1</v>
      </c>
      <c r="C62" s="233" t="str">
        <f>C19</f>
        <v>Residential Heating Technology Rural Detached - Wood pellets - Existing 1</v>
      </c>
      <c r="D62" s="233" t="str">
        <f>D19</f>
        <v>Rural</v>
      </c>
      <c r="E62" s="233" t="str">
        <f>E19</f>
        <v>Detached</v>
      </c>
      <c r="F62" s="233" t="str">
        <f>F19</f>
        <v>COMWPE</v>
      </c>
      <c r="G62" s="233" t="str">
        <f>G19</f>
        <v>COMHRDB</v>
      </c>
      <c r="H62" s="259">
        <v>2015</v>
      </c>
      <c r="I62" s="250">
        <f t="shared" ref="I62:I67" si="50">ROUNDUP(AB62/($O62*$P62)*$R62,1)</f>
        <v>0</v>
      </c>
      <c r="J62" s="250">
        <f t="shared" si="48"/>
        <v>0</v>
      </c>
      <c r="K62" s="250">
        <f t="shared" si="49"/>
        <v>0</v>
      </c>
      <c r="L62" s="463">
        <v>0.67</v>
      </c>
      <c r="M62" s="463">
        <v>0.67</v>
      </c>
      <c r="N62" s="463">
        <v>0.67</v>
      </c>
      <c r="O62" s="244">
        <f>31.536/1000</f>
        <v>3.1536000000000002E-2</v>
      </c>
      <c r="P62" s="459">
        <v>0.15</v>
      </c>
      <c r="Q62" s="245">
        <v>20</v>
      </c>
      <c r="R62" s="227">
        <v>1.0900000000000001</v>
      </c>
      <c r="T62" s="268">
        <f t="shared" si="5"/>
        <v>0</v>
      </c>
      <c r="U62" s="268"/>
      <c r="W62" s="254" t="s">
        <v>866</v>
      </c>
      <c r="X62" s="246">
        <v>2015</v>
      </c>
      <c r="Y62" s="433">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5">
        <f>_xlfn.IFNA(INDEX('Data manipulation'!$C$23:$O$39,MATCH($V62,'Data manipulation'!$B$23:$B$39,0),MATCH($X62,'Data manipulation'!$C$22:$O$22,0))/1000,0)*SUMIFS('Regional split'!$F$4:$F$6,'Regional split'!$B$4:$B$6,AA$3)*SUMIFS('Data manipulation'!$V$39:$V$42,'Data manipulation'!$X$39:$X$42,$E62,'Data manipulation'!$Y$39:$Y$42,$D62)</f>
        <v>0</v>
      </c>
      <c r="AB62" s="444">
        <f t="shared" si="6"/>
        <v>0</v>
      </c>
      <c r="AC62" s="251">
        <f t="shared" si="0"/>
        <v>0</v>
      </c>
      <c r="AD62" s="445">
        <f t="shared" si="1"/>
        <v>0</v>
      </c>
      <c r="AU62" s="260"/>
      <c r="AZ62" s="252"/>
    </row>
    <row r="63" spans="2:53" ht="15" customHeight="1">
      <c r="B63" s="233" t="str">
        <f>B20</f>
        <v>CHTRDFIWE1</v>
      </c>
      <c r="C63" s="233" t="str">
        <f>C20</f>
        <v>Residential Heating Technology Rural Detached - Fire wood - Existing 1</v>
      </c>
      <c r="D63" s="233" t="str">
        <f>D20</f>
        <v>Rural</v>
      </c>
      <c r="E63" s="233" t="str">
        <f>E20</f>
        <v>Detached</v>
      </c>
      <c r="F63" s="233" t="str">
        <f>F20</f>
        <v>COMFIW</v>
      </c>
      <c r="G63" s="233" t="str">
        <f>G20</f>
        <v>COMHRDB</v>
      </c>
      <c r="H63" s="259">
        <v>2015</v>
      </c>
      <c r="I63" s="250">
        <f t="shared" si="50"/>
        <v>3233.6</v>
      </c>
      <c r="J63" s="250">
        <f t="shared" si="48"/>
        <v>0</v>
      </c>
      <c r="K63" s="250">
        <f t="shared" si="49"/>
        <v>0</v>
      </c>
      <c r="L63" s="463">
        <v>0.67</v>
      </c>
      <c r="M63" s="463">
        <v>0.67</v>
      </c>
      <c r="N63" s="463">
        <v>0.67</v>
      </c>
      <c r="O63" s="244">
        <f>31.536/1000</f>
        <v>3.1536000000000002E-2</v>
      </c>
      <c r="P63" s="459">
        <v>0.15</v>
      </c>
      <c r="Q63" s="245">
        <v>20</v>
      </c>
      <c r="R63" s="227">
        <v>1.0900000000000001</v>
      </c>
      <c r="T63" s="268">
        <f t="shared" si="5"/>
        <v>22.830181253731343</v>
      </c>
      <c r="U63" s="268"/>
      <c r="V63" s="592" t="str">
        <f>'Data manipulation'!$B$31</f>
        <v>Primary solid biofuels</v>
      </c>
      <c r="W63" s="254" t="s">
        <v>177</v>
      </c>
      <c r="X63" s="246">
        <v>2015</v>
      </c>
      <c r="Y63" s="433">
        <f>_xlfn.IFNA(INDEX('Data manipulation'!$C$23:$O$39,MATCH($V63,'Data manipulation'!$B$23:$B$39,0),MATCH($X63,'Data manipulation'!$C$22:$O$22,0))/1000,0)*SUMIFS('Regional split'!$F$4:$F$6,'Regional split'!$B$4:$B$6,Y$3)*SUMIFS('Data manipulation'!$V$39:$V$42,'Data manipulation'!$X$39:$X$42,$E63,'Data manipulation'!$Y$39:$Y$42,$D63)</f>
        <v>20.944924802772903</v>
      </c>
      <c r="Z63" s="270">
        <f>_xlfn.IFNA(INDEX('Data manipulation'!$C$23:$O$39,MATCH($V63,'Data manipulation'!$B$23:$B$39,0),MATCH($X63,'Data manipulation'!$C$22:$O$22,0))/1000,0)*SUMIFS('Regional split'!$F$4:$F$6,'Regional split'!$B$4:$B$6,Z$3)*SUMIFS('Data manipulation'!$V$39:$V$42,'Data manipulation'!$X$39:$X$42,$E63,'Data manipulation'!$Y$39:$Y$42,$D63)</f>
        <v>0</v>
      </c>
      <c r="AA63" s="455">
        <f>_xlfn.IFNA(INDEX('Data manipulation'!$C$23:$O$39,MATCH($V63,'Data manipulation'!$B$23:$B$39,0),MATCH($X63,'Data manipulation'!$C$22:$O$22,0))/1000,0)*SUMIFS('Regional split'!$F$4:$F$6,'Regional split'!$B$4:$B$6,AA$3)*SUMIFS('Data manipulation'!$V$39:$V$42,'Data manipulation'!$X$39:$X$42,$E63,'Data manipulation'!$Y$39:$Y$42,$D63)</f>
        <v>0</v>
      </c>
      <c r="AB63" s="444">
        <f t="shared" si="6"/>
        <v>14.033099617857845</v>
      </c>
      <c r="AC63" s="251">
        <f t="shared" si="0"/>
        <v>0</v>
      </c>
      <c r="AD63" s="445">
        <f t="shared" si="1"/>
        <v>0</v>
      </c>
      <c r="AU63" s="260"/>
      <c r="AZ63" s="252"/>
    </row>
    <row r="64" spans="2:53" ht="15" customHeight="1">
      <c r="B64" s="233" t="str">
        <f>B21</f>
        <v>CHTRDCOAE1</v>
      </c>
      <c r="C64" s="233" t="str">
        <f>C21</f>
        <v>Residential Heating Technology Rural Detached - Coal - Existing 1</v>
      </c>
      <c r="D64" s="233" t="str">
        <f>D21</f>
        <v>Rural</v>
      </c>
      <c r="E64" s="233" t="str">
        <f>E21</f>
        <v>Detached</v>
      </c>
      <c r="F64" s="233" t="str">
        <f>F21</f>
        <v>COMCOA</v>
      </c>
      <c r="G64" s="233" t="str">
        <f>G21</f>
        <v>COMHRDB</v>
      </c>
      <c r="H64" s="259">
        <v>2015</v>
      </c>
      <c r="I64" s="250">
        <f t="shared" si="50"/>
        <v>557.20000000000005</v>
      </c>
      <c r="J64" s="250">
        <f t="shared" si="48"/>
        <v>0</v>
      </c>
      <c r="K64" s="250">
        <f t="shared" si="49"/>
        <v>0</v>
      </c>
      <c r="L64" s="463">
        <v>0.72</v>
      </c>
      <c r="M64" s="463">
        <v>0.72</v>
      </c>
      <c r="N64" s="463">
        <v>0.72</v>
      </c>
      <c r="O64" s="244">
        <f t="shared" si="44"/>
        <v>3.1536000000000002E-2</v>
      </c>
      <c r="P64" s="459">
        <v>0.15</v>
      </c>
      <c r="Q64" s="245">
        <v>20</v>
      </c>
      <c r="R64" s="227">
        <v>1.0900000000000001</v>
      </c>
      <c r="T64" s="268">
        <f t="shared" si="5"/>
        <v>3.6608040000000002</v>
      </c>
      <c r="U64" s="268"/>
      <c r="V64" s="592" t="str">
        <f>'Data manipulation'!$B$23</f>
        <v>Solid fossil fuels, peat, peat products, oil shale and oil sands</v>
      </c>
      <c r="W64" s="254" t="s">
        <v>863</v>
      </c>
      <c r="X64" s="246">
        <v>2015</v>
      </c>
      <c r="Y64" s="433">
        <f>_xlfn.IFNA(INDEX('Data manipulation'!$C$23:$O$39,MATCH($V64,'Data manipulation'!$B$23:$B$39,0),MATCH($X64,'Data manipulation'!$C$22:$O$22,0))/1000,0)*SUMIFS('Regional split'!$F$4:$F$6,'Regional split'!$B$4:$B$6,Y$3)*SUMIFS('Data manipulation'!$V$39:$V$42,'Data manipulation'!$X$39:$X$42,$E64,'Data manipulation'!$Y$39:$Y$42,$D64)</f>
        <v>3.35799352</v>
      </c>
      <c r="Z64" s="270">
        <f>_xlfn.IFNA(INDEX('Data manipulation'!$C$23:$O$39,MATCH($V64,'Data manipulation'!$B$23:$B$39,0),MATCH($X64,'Data manipulation'!$C$22:$O$22,0))/1000,0)*SUMIFS('Regional split'!$F$4:$F$6,'Regional split'!$B$4:$B$6,Z$3)*SUMIFS('Data manipulation'!$V$39:$V$42,'Data manipulation'!$X$39:$X$42,$E64,'Data manipulation'!$Y$39:$Y$42,$D64)</f>
        <v>0</v>
      </c>
      <c r="AA64" s="455">
        <f>_xlfn.IFNA(INDEX('Data manipulation'!$C$23:$O$39,MATCH($V64,'Data manipulation'!$B$23:$B$39,0),MATCH($X64,'Data manipulation'!$C$22:$O$22,0))/1000,0)*SUMIFS('Regional split'!$F$4:$F$6,'Regional split'!$B$4:$B$6,AA$3)*SUMIFS('Data manipulation'!$V$39:$V$42,'Data manipulation'!$X$39:$X$42,$E64,'Data manipulation'!$Y$39:$Y$42,$D64)</f>
        <v>0</v>
      </c>
      <c r="AB64" s="444">
        <f t="shared" si="6"/>
        <v>2.4177553343999998</v>
      </c>
      <c r="AC64" s="251">
        <f t="shared" si="0"/>
        <v>0</v>
      </c>
      <c r="AD64" s="445">
        <f t="shared" si="1"/>
        <v>0</v>
      </c>
      <c r="AU64" s="260"/>
      <c r="AZ64" s="252"/>
    </row>
    <row r="65" spans="2:52" ht="15" customHeight="1">
      <c r="B65" s="233" t="str">
        <f>B22</f>
        <v>CHTRDSOLE1</v>
      </c>
      <c r="C65" s="233" t="str">
        <f>C22</f>
        <v>Residential Heating Technology Rural Detached - Solar - Existing 1</v>
      </c>
      <c r="D65" s="233" t="str">
        <f>D22</f>
        <v>Rural</v>
      </c>
      <c r="E65" s="233" t="str">
        <f>E22</f>
        <v>Detached</v>
      </c>
      <c r="F65" s="233" t="str">
        <f>F22</f>
        <v>COMSOL</v>
      </c>
      <c r="G65" s="233" t="str">
        <f>G22</f>
        <v>COMHRDB</v>
      </c>
      <c r="H65" s="259">
        <v>2015</v>
      </c>
      <c r="I65" s="250">
        <f t="shared" si="50"/>
        <v>16</v>
      </c>
      <c r="J65" s="250">
        <f t="shared" si="48"/>
        <v>0</v>
      </c>
      <c r="K65" s="250">
        <f t="shared" si="49"/>
        <v>0</v>
      </c>
      <c r="L65" s="463">
        <v>1</v>
      </c>
      <c r="M65" s="463">
        <v>1</v>
      </c>
      <c r="N65" s="463">
        <v>1</v>
      </c>
      <c r="O65" s="244">
        <f t="shared" si="44"/>
        <v>3.1536000000000002E-2</v>
      </c>
      <c r="P65" s="459">
        <v>0.15</v>
      </c>
      <c r="Q65" s="245">
        <v>20</v>
      </c>
      <c r="R65" s="227">
        <v>1.0900000000000001</v>
      </c>
      <c r="T65" s="268">
        <f t="shared" si="5"/>
        <v>7.5686400000000001E-2</v>
      </c>
      <c r="U65" s="268"/>
      <c r="V65" s="592" t="str">
        <f>'Data manipulation'!$B$29</f>
        <v>Solar thermal</v>
      </c>
      <c r="W65" s="254" t="s">
        <v>169</v>
      </c>
      <c r="X65" s="246">
        <v>2015</v>
      </c>
      <c r="Y65" s="433">
        <f>_xlfn.IFNA(INDEX('Data manipulation'!$C$23:$O$39,MATCH($V65,'Data manipulation'!$B$23:$B$39,0),MATCH($X65,'Data manipulation'!$C$22:$O$22,0))/1000,0)*SUMIFS('Regional split'!$F$4:$F$6,'Regional split'!$B$4:$B$6,Y$3)*SUMIFS('Data manipulation'!$V$39:$V$42,'Data manipulation'!$X$39:$X$42,$E65,'Data manipulation'!$Y$39:$Y$42,$D65)</f>
        <v>6.9167476000000019E-2</v>
      </c>
      <c r="Z65" s="270">
        <f>_xlfn.IFNA(INDEX('Data manipulation'!$C$23:$O$39,MATCH($V65,'Data manipulation'!$B$23:$B$39,0),MATCH($X65,'Data manipulation'!$C$22:$O$22,0))/1000,0)*SUMIFS('Regional split'!$F$4:$F$6,'Regional split'!$B$4:$B$6,Z$3)*SUMIFS('Data manipulation'!$V$39:$V$42,'Data manipulation'!$X$39:$X$42,$E65,'Data manipulation'!$Y$39:$Y$42,$D65)</f>
        <v>0</v>
      </c>
      <c r="AA65" s="455">
        <f>_xlfn.IFNA(INDEX('Data manipulation'!$C$23:$O$39,MATCH($V65,'Data manipulation'!$B$23:$B$39,0),MATCH($X65,'Data manipulation'!$C$22:$O$22,0))/1000,0)*SUMIFS('Regional split'!$F$4:$F$6,'Regional split'!$B$4:$B$6,AA$3)*SUMIFS('Data manipulation'!$V$39:$V$42,'Data manipulation'!$X$39:$X$42,$E65,'Data manipulation'!$Y$39:$Y$42,$D65)</f>
        <v>0</v>
      </c>
      <c r="AB65" s="444">
        <f t="shared" si="6"/>
        <v>6.9167476000000019E-2</v>
      </c>
      <c r="AC65" s="251">
        <f t="shared" si="0"/>
        <v>0</v>
      </c>
      <c r="AD65" s="445">
        <f t="shared" si="1"/>
        <v>0</v>
      </c>
      <c r="AU65" s="260"/>
      <c r="AZ65" s="252"/>
    </row>
    <row r="66" spans="2:52" ht="15" customHeight="1">
      <c r="B66" s="233" t="str">
        <f>B24</f>
        <v>CHTRDELCHE1</v>
      </c>
      <c r="C66" s="233" t="str">
        <f>C24</f>
        <v>Residential Heating Technology Rural Detached - Electricity Heating - Existing 1</v>
      </c>
      <c r="D66" s="233" t="str">
        <f t="shared" ref="D66:E66" si="51">D24</f>
        <v>Rural</v>
      </c>
      <c r="E66" s="233" t="str">
        <f t="shared" si="51"/>
        <v>Detached</v>
      </c>
      <c r="F66" s="233" t="str">
        <f t="shared" ref="F66:G66" si="52">F24</f>
        <v>COMELCH</v>
      </c>
      <c r="G66" s="233" t="str">
        <f t="shared" si="52"/>
        <v>COMHRDB</v>
      </c>
      <c r="H66" s="259">
        <v>2015</v>
      </c>
      <c r="I66" s="250">
        <f t="shared" si="50"/>
        <v>3001.5</v>
      </c>
      <c r="J66" s="250">
        <f t="shared" si="48"/>
        <v>0</v>
      </c>
      <c r="K66" s="250">
        <f t="shared" si="49"/>
        <v>0</v>
      </c>
      <c r="L66" s="463">
        <v>1</v>
      </c>
      <c r="M66" s="463">
        <v>1</v>
      </c>
      <c r="N66" s="463">
        <v>1</v>
      </c>
      <c r="O66" s="244">
        <f t="shared" si="44"/>
        <v>3.1536000000000002E-2</v>
      </c>
      <c r="P66" s="459">
        <v>0.15</v>
      </c>
      <c r="Q66" s="245">
        <v>30</v>
      </c>
      <c r="R66" s="227">
        <v>1.0900000000000001</v>
      </c>
      <c r="T66" s="268">
        <f t="shared" si="5"/>
        <v>14.1982956</v>
      </c>
      <c r="U66" s="268"/>
      <c r="V66" s="592" t="str">
        <f>'Data manipulation'!$B$33</f>
        <v>Electricity</v>
      </c>
      <c r="W66" s="254" t="s">
        <v>170</v>
      </c>
      <c r="X66" s="246">
        <v>2015</v>
      </c>
      <c r="Y66" s="433">
        <f>_xlfn.IFNA(INDEX('Data manipulation'!$C$23:$O$39,MATCH($V66,'Data manipulation'!$B$23:$B$39,0),MATCH($X66,'Data manipulation'!$C$22:$O$22,0))/1000,0)*SUMIFS('Regional split'!$F$4:$F$6,'Regional split'!$B$4:$B$6,Y$3)*SUMIFS('Data manipulation'!$V$39:$V$42,'Data manipulation'!$X$39:$X$42,$E66,'Data manipulation'!$Y$39:$Y$42,$D66)</f>
        <v>13.025758884256231</v>
      </c>
      <c r="Z66" s="270">
        <f>_xlfn.IFNA(INDEX('Data manipulation'!$C$23:$O$39,MATCH($V66,'Data manipulation'!$B$23:$B$39,0),MATCH($X66,'Data manipulation'!$C$22:$O$22,0))/1000,0)*SUMIFS('Regional split'!$F$4:$F$6,'Regional split'!$B$4:$B$6,Z$3)*SUMIFS('Data manipulation'!$V$39:$V$42,'Data manipulation'!$X$39:$X$42,$E66,'Data manipulation'!$Y$39:$Y$42,$D66)</f>
        <v>0</v>
      </c>
      <c r="AA66" s="455">
        <f>_xlfn.IFNA(INDEX('Data manipulation'!$C$23:$O$39,MATCH($V66,'Data manipulation'!$B$23:$B$39,0),MATCH($X66,'Data manipulation'!$C$22:$O$22,0))/1000,0)*SUMIFS('Regional split'!$F$4:$F$6,'Regional split'!$B$4:$B$6,AA$3)*SUMIFS('Data manipulation'!$V$39:$V$42,'Data manipulation'!$X$39:$X$42,$E66,'Data manipulation'!$Y$39:$Y$42,$D66)</f>
        <v>0</v>
      </c>
      <c r="AB66" s="444">
        <f t="shared" si="6"/>
        <v>13.025758884256231</v>
      </c>
      <c r="AC66" s="251">
        <f t="shared" si="0"/>
        <v>0</v>
      </c>
      <c r="AD66" s="445">
        <f t="shared" si="1"/>
        <v>0</v>
      </c>
      <c r="AU66" s="260"/>
      <c r="AZ66" s="252"/>
    </row>
    <row r="67" spans="2:52" ht="15" customHeight="1">
      <c r="B67" s="233" t="str">
        <f>B25</f>
        <v>CHTRDELCHE2</v>
      </c>
      <c r="C67" s="233" t="str">
        <f>C25</f>
        <v>Residential Heating Technology Rural Detached - Electricity Heating - Existing 2</v>
      </c>
      <c r="D67" s="233" t="str">
        <f t="shared" ref="D67:E67" si="53">D25</f>
        <v>Rural</v>
      </c>
      <c r="E67" s="233" t="str">
        <f t="shared" si="53"/>
        <v>Detached</v>
      </c>
      <c r="F67" s="233" t="str">
        <f t="shared" ref="F67:G67" si="54">F25</f>
        <v>COMELCH</v>
      </c>
      <c r="G67" s="233" t="str">
        <f t="shared" si="54"/>
        <v>COMHRDB</v>
      </c>
      <c r="H67" s="259">
        <v>2015</v>
      </c>
      <c r="I67" s="250">
        <f t="shared" si="50"/>
        <v>519.80000000000007</v>
      </c>
      <c r="J67" s="250">
        <f t="shared" si="48"/>
        <v>0</v>
      </c>
      <c r="K67" s="250">
        <f t="shared" si="49"/>
        <v>0</v>
      </c>
      <c r="L67" s="463">
        <v>2.3149999999999999</v>
      </c>
      <c r="M67" s="463">
        <v>2.3149999999999999</v>
      </c>
      <c r="N67" s="463">
        <v>2.3149999999999999</v>
      </c>
      <c r="O67" s="244">
        <f t="shared" si="44"/>
        <v>3.1536000000000002E-2</v>
      </c>
      <c r="P67" s="459">
        <v>0.15</v>
      </c>
      <c r="Q67" s="245">
        <v>30</v>
      </c>
      <c r="R67" s="227">
        <v>1.0900000000000001</v>
      </c>
      <c r="T67" s="268">
        <f t="shared" si="5"/>
        <v>1.0621433779697627</v>
      </c>
      <c r="U67" s="268"/>
      <c r="V67" s="592" t="str">
        <f>'Data manipulation'!$B$30</f>
        <v>Ambient heat (heat pumps)</v>
      </c>
      <c r="W67" s="254" t="s">
        <v>171</v>
      </c>
      <c r="X67" s="246">
        <v>2015</v>
      </c>
      <c r="Y67" s="433">
        <f>_xlfn.IFNA(INDEX('Data manipulation'!$C$23:$O$39,MATCH($V67,'Data manipulation'!$B$23:$B$39,0),MATCH($X67,'Data manipulation'!$C$22:$O$22,0))/1000,0)*SUMIFS('Regional split'!$F$4:$F$6,'Regional split'!$B$4:$B$6,Y$3)*SUMIFS('Data manipulation'!$V$39:$V$42,'Data manipulation'!$X$39:$X$42,$E67,'Data manipulation'!$Y$39:$Y$42,$D67)</f>
        <v>0.97444256000000007</v>
      </c>
      <c r="Z67" s="270">
        <f>_xlfn.IFNA(INDEX('Data manipulation'!$C$23:$O$39,MATCH($V67,'Data manipulation'!$B$23:$B$39,0),MATCH($X67,'Data manipulation'!$C$22:$O$22,0))/1000,0)*SUMIFS('Regional split'!$F$4:$F$6,'Regional split'!$B$4:$B$6,Z$3)*SUMIFS('Data manipulation'!$V$39:$V$42,'Data manipulation'!$X$39:$X$42,$E67,'Data manipulation'!$Y$39:$Y$42,$D67)</f>
        <v>0</v>
      </c>
      <c r="AA67" s="455">
        <f>_xlfn.IFNA(INDEX('Data manipulation'!$C$23:$O$39,MATCH($V67,'Data manipulation'!$B$23:$B$39,0),MATCH($X67,'Data manipulation'!$C$22:$O$22,0))/1000,0)*SUMIFS('Regional split'!$F$4:$F$6,'Regional split'!$B$4:$B$6,AA$3)*SUMIFS('Data manipulation'!$V$39:$V$42,'Data manipulation'!$X$39:$X$42,$E67,'Data manipulation'!$Y$39:$Y$42,$D67)</f>
        <v>0</v>
      </c>
      <c r="AB67" s="444">
        <f t="shared" si="6"/>
        <v>2.2558345264000002</v>
      </c>
      <c r="AC67" s="251">
        <f t="shared" si="0"/>
        <v>0</v>
      </c>
      <c r="AD67" s="445">
        <f t="shared" si="1"/>
        <v>0</v>
      </c>
      <c r="AU67" s="260"/>
      <c r="AZ67" s="252"/>
    </row>
    <row r="68" spans="2:52" ht="15" customHeight="1">
      <c r="B68" s="233" t="str">
        <f>B26</f>
        <v>CHTRDHCEE1</v>
      </c>
      <c r="C68" s="233" t="str">
        <f>C26</f>
        <v>Residential Heating Technology Rural Detached - District heating Central - Existing 1</v>
      </c>
      <c r="D68" s="233" t="str">
        <f t="shared" ref="D68:E68" si="55">D26</f>
        <v>Rural</v>
      </c>
      <c r="E68" s="233" t="str">
        <f t="shared" si="55"/>
        <v>Detached</v>
      </c>
      <c r="F68" s="233" t="str">
        <f t="shared" ref="F68:G68" si="56">F26</f>
        <v>COMHDE</v>
      </c>
      <c r="G68" s="233" t="str">
        <f t="shared" si="56"/>
        <v>COMHRDB</v>
      </c>
      <c r="H68" s="261">
        <v>2015</v>
      </c>
      <c r="I68" s="568">
        <v>0</v>
      </c>
      <c r="J68" s="568">
        <v>0</v>
      </c>
      <c r="K68" s="568">
        <v>0</v>
      </c>
      <c r="L68" s="463">
        <v>0.98</v>
      </c>
      <c r="M68" s="463">
        <v>0.98</v>
      </c>
      <c r="N68" s="463">
        <v>0.98</v>
      </c>
      <c r="O68" s="244">
        <f t="shared" si="44"/>
        <v>3.1536000000000002E-2</v>
      </c>
      <c r="P68" s="459">
        <v>0.15</v>
      </c>
      <c r="Q68" s="245">
        <v>30</v>
      </c>
      <c r="R68" s="227">
        <v>1.0900000000000001</v>
      </c>
      <c r="T68" s="268">
        <f t="shared" si="5"/>
        <v>0</v>
      </c>
      <c r="U68" s="268"/>
      <c r="V68" s="592" t="str">
        <f>'Data manipulation'!$B$34</f>
        <v>Heat</v>
      </c>
      <c r="W68" s="254" t="s">
        <v>172</v>
      </c>
      <c r="X68" s="246">
        <v>2015</v>
      </c>
      <c r="Y68" s="433">
        <f>_xlfn.IFNA(INDEX('Data manipulation'!$C$23:$O$39,MATCH($V68,'Data manipulation'!$B$23:$B$39,0),MATCH($X68,'Data manipulation'!$C$22:$O$22,0))/1000,0)*SUMIFS('Regional split'!$F$4:$F$6,'Regional split'!$B$4:$B$6,Y$3)*SUMIFS('Data manipulation'!$V$39:$V$42,'Data manipulation'!$X$39:$X$42,$E68,'Data manipulation'!$Y$39:$Y$42,$D68)</f>
        <v>22.946896213370895</v>
      </c>
      <c r="Z68" s="270">
        <f>_xlfn.IFNA(INDEX('Data manipulation'!$C$23:$O$39,MATCH($V68,'Data manipulation'!$B$23:$B$39,0),MATCH($X68,'Data manipulation'!$C$22:$O$22,0))/1000,0)*SUMIFS('Regional split'!$F$4:$F$6,'Regional split'!$B$4:$B$6,Z$3)*SUMIFS('Data manipulation'!$V$39:$V$42,'Data manipulation'!$X$39:$X$42,$E68,'Data manipulation'!$Y$39:$Y$42,$D68)</f>
        <v>0</v>
      </c>
      <c r="AA68" s="455">
        <f>_xlfn.IFNA(INDEX('Data manipulation'!$C$23:$O$39,MATCH($V68,'Data manipulation'!$B$23:$B$39,0),MATCH($X68,'Data manipulation'!$C$22:$O$22,0))/1000,0)*SUMIFS('Regional split'!$F$4:$F$6,'Regional split'!$B$4:$B$6,AA$3)*SUMIFS('Data manipulation'!$V$39:$V$42,'Data manipulation'!$X$39:$X$42,$E68,'Data manipulation'!$Y$39:$Y$42,$D68)</f>
        <v>0</v>
      </c>
      <c r="AB68" s="444">
        <f t="shared" si="6"/>
        <v>22.487958289103478</v>
      </c>
      <c r="AC68" s="251">
        <f t="shared" si="0"/>
        <v>0</v>
      </c>
      <c r="AD68" s="445">
        <f t="shared" si="1"/>
        <v>0</v>
      </c>
      <c r="AU68" s="260"/>
      <c r="AZ68" s="252"/>
    </row>
    <row r="69" spans="2:52" ht="15" customHeight="1" thickBot="1">
      <c r="B69" s="233" t="str">
        <f>B27</f>
        <v>CHTRDLPGE1</v>
      </c>
      <c r="C69" s="233" t="str">
        <f>C27</f>
        <v>Residential Heating Technology Rural Detached - LPG - Existing 1</v>
      </c>
      <c r="D69" s="233" t="str">
        <f t="shared" ref="D69:E69" si="57">D27</f>
        <v>Rural</v>
      </c>
      <c r="E69" s="233" t="str">
        <f t="shared" si="57"/>
        <v>Detached</v>
      </c>
      <c r="F69" s="233" t="str">
        <f t="shared" ref="F69:G69" si="58">F27</f>
        <v>COMLPG</v>
      </c>
      <c r="G69" s="233" t="str">
        <f t="shared" si="58"/>
        <v>COMHRDB</v>
      </c>
      <c r="H69" s="261">
        <v>2015</v>
      </c>
      <c r="I69" s="297">
        <f t="shared" ref="I69" si="59">ROUNDUP(AB69/($O69*$P69)*$R69,1)</f>
        <v>1173.0999999999999</v>
      </c>
      <c r="J69" s="297">
        <f t="shared" ref="J69" si="60">ROUNDUP(AC69/($O69*$P69)*$R69,1)</f>
        <v>0</v>
      </c>
      <c r="K69" s="297">
        <f t="shared" ref="K69" si="61">ROUNDUP(AD69/($O69*$P69)*$R69,1)</f>
        <v>0</v>
      </c>
      <c r="L69" s="463">
        <v>0.98</v>
      </c>
      <c r="M69" s="463">
        <v>0.98</v>
      </c>
      <c r="N69" s="463">
        <v>0.98</v>
      </c>
      <c r="O69" s="244">
        <f t="shared" si="44"/>
        <v>3.1536000000000002E-2</v>
      </c>
      <c r="P69" s="459">
        <v>0.15</v>
      </c>
      <c r="Q69" s="245">
        <v>30</v>
      </c>
      <c r="R69" s="227">
        <v>1.0900000000000001</v>
      </c>
      <c r="T69" s="268">
        <f t="shared" si="5"/>
        <v>5.6624818775510199</v>
      </c>
      <c r="U69" s="268"/>
      <c r="V69" s="593" t="str">
        <f>'Data manipulation'!$B$25</f>
        <v>Liquefied natural gas</v>
      </c>
      <c r="W69" s="428" t="s">
        <v>771</v>
      </c>
      <c r="X69" s="246">
        <v>2015</v>
      </c>
      <c r="Y69" s="434">
        <f>_xlfn.IFNA(INDEX('Data manipulation'!$C$23:$O$39,MATCH($V69,'Data manipulation'!$B$23:$B$39,0),MATCH($X69,'Data manipulation'!$C$22:$O$22,0))/1000,0)*SUMIFS('Regional split'!$F$4:$F$6,'Regional split'!$B$4:$B$6,Y$3)*SUMIFS('Data manipulation'!$V$39:$V$42,'Data manipulation'!$X$39:$X$42,$E69,'Data manipulation'!$Y$39:$Y$42,$D69)</f>
        <v>5.1948260241855015</v>
      </c>
      <c r="Z69" s="431">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6">
        <f t="shared" si="6"/>
        <v>5.0909295037017914</v>
      </c>
      <c r="AC69" s="432">
        <f t="shared" si="0"/>
        <v>0</v>
      </c>
      <c r="AD69" s="453">
        <f t="shared" si="1"/>
        <v>0</v>
      </c>
      <c r="AU69" s="260"/>
      <c r="AZ69" s="252"/>
    </row>
    <row r="70" spans="2:52" ht="15" customHeight="1">
      <c r="B70" s="227" t="str">
        <f>B28</f>
        <v>CHTUMNGAE1</v>
      </c>
      <c r="C70" s="227" t="str">
        <f>C28</f>
        <v>Residential Heating Technology Urban Multi - Natural Gas - Existing 1</v>
      </c>
      <c r="D70" s="227" t="str">
        <f t="shared" ref="D70:E70" si="62">D28</f>
        <v>Urban</v>
      </c>
      <c r="E70" s="227" t="str">
        <f t="shared" si="62"/>
        <v>Multi storey</v>
      </c>
      <c r="F70" s="227" t="str">
        <f>F28</f>
        <v>COMNGA,COMSNG</v>
      </c>
      <c r="G70" s="227" t="str">
        <f>G28</f>
        <v>COMHUMB</v>
      </c>
      <c r="H70" s="230">
        <v>2015</v>
      </c>
      <c r="I70" s="250">
        <f>ROUNDUP(AB70/($O70*$P70)*$R70,1)</f>
        <v>15149.7</v>
      </c>
      <c r="J70" s="250">
        <f>ROUNDUP(AC70/($O70*$P70)*$R70,1)</f>
        <v>0</v>
      </c>
      <c r="K70" s="250">
        <f>ROUNDUP(AD70/($O70*$P70)*$R70,1)</f>
        <v>0</v>
      </c>
      <c r="L70" s="463">
        <v>0.72</v>
      </c>
      <c r="M70" s="463">
        <v>0.72</v>
      </c>
      <c r="N70" s="463">
        <v>0.72</v>
      </c>
      <c r="O70" s="244">
        <f>31.536/1000</f>
        <v>3.1536000000000002E-2</v>
      </c>
      <c r="P70" s="459">
        <v>0.15</v>
      </c>
      <c r="Q70" s="245">
        <v>22</v>
      </c>
      <c r="R70" s="227">
        <v>1.0900000000000001</v>
      </c>
      <c r="T70" s="268">
        <f t="shared" si="5"/>
        <v>99.533529000000016</v>
      </c>
      <c r="U70" s="268"/>
      <c r="V70" s="592" t="str">
        <f>'Data manipulation'!$B$36</f>
        <v>Natural gas and biogas</v>
      </c>
      <c r="W70" s="246" t="s">
        <v>168</v>
      </c>
      <c r="X70" s="246">
        <v>2015</v>
      </c>
      <c r="Y70" s="433">
        <f>_xlfn.IFNA(INDEX('Data manipulation'!$C$23:$O$39,MATCH($V70,'Data manipulation'!$B$23:$B$39,0),MATCH($X70,'Data manipulation'!$C$22:$O$22,0))/1000,0)*SUMIFS('Regional split'!$F$4:$F$6,'Regional split'!$B$4:$B$6,Y$3)*SUMIFS('Data manipulation'!$V$39:$V$42,'Data manipulation'!$X$39:$X$42,$E70,'Data manipulation'!$Y$39:$Y$42,$D70)</f>
        <v>91.314591314323422</v>
      </c>
      <c r="Z70" s="270">
        <f>_xlfn.IFNA(INDEX('Data manipulation'!$C$23:$O$39,MATCH($V70,'Data manipulation'!$B$23:$B$39,0),MATCH($X70,'Data manipulation'!$C$22:$O$22,0))/1000,0)*SUMIFS('Regional split'!$F$4:$F$6,'Regional split'!$B$4:$B$6,Z$3)*SUMIFS('Data manipulation'!$V$39:$V$42,'Data manipulation'!$X$39:$X$42,$E70,'Data manipulation'!$Y$39:$Y$42,$D70)</f>
        <v>0</v>
      </c>
      <c r="AA70" s="455">
        <f>_xlfn.IFNA(INDEX('Data manipulation'!$C$23:$O$39,MATCH($V70,'Data manipulation'!$B$23:$B$39,0),MATCH($X70,'Data manipulation'!$C$22:$O$22,0))/1000,0)*SUMIFS('Regional split'!$F$4:$F$6,'Regional split'!$B$4:$B$6,AA$3)*SUMIFS('Data manipulation'!$V$39:$V$42,'Data manipulation'!$X$39:$X$42,$E70,'Data manipulation'!$Y$39:$Y$42,$D70)</f>
        <v>0</v>
      </c>
      <c r="AB70" s="444">
        <f t="shared" ref="AB70:AB109" si="63">Y70*L70</f>
        <v>65.746505746312863</v>
      </c>
      <c r="AC70" s="251">
        <f t="shared" ref="AC70:AC109" si="64">Z70*M70</f>
        <v>0</v>
      </c>
      <c r="AD70" s="445">
        <f t="shared" ref="AD70:AD109" si="65">AA70*N70</f>
        <v>0</v>
      </c>
      <c r="AE70" s="262"/>
      <c r="AU70" s="260"/>
      <c r="AZ70" s="252"/>
    </row>
    <row r="71" spans="2:52" ht="15" customHeight="1">
      <c r="B71" s="227" t="str">
        <f>B29</f>
        <v>CHTUMDSLE1</v>
      </c>
      <c r="C71" s="227" t="str">
        <f>C29</f>
        <v>Residential Heating Technology Urban Multi - Diesel - Existing 1</v>
      </c>
      <c r="D71" s="227" t="str">
        <f t="shared" ref="D71:E71" si="66">D29</f>
        <v>Urban</v>
      </c>
      <c r="E71" s="227" t="str">
        <f t="shared" si="66"/>
        <v>Multi storey</v>
      </c>
      <c r="F71" s="227" t="str">
        <f t="shared" ref="F71:G71" si="67">F29</f>
        <v>COMDSL,COMDSB</v>
      </c>
      <c r="G71" s="227" t="str">
        <f t="shared" si="67"/>
        <v>COMHUMB</v>
      </c>
      <c r="H71" s="230">
        <v>2015</v>
      </c>
      <c r="I71" s="250">
        <f t="shared" ref="I71:I78" si="68">ROUNDUP(AB71/($O71*$P71)*$R71,1)</f>
        <v>0</v>
      </c>
      <c r="J71" s="250">
        <f t="shared" ref="J71:J77" si="69">ROUNDUP(AC71/($O71*$P71)*$R71,1)</f>
        <v>0</v>
      </c>
      <c r="K71" s="250">
        <f t="shared" ref="K71:K77" si="70">ROUNDUP(AD71/($O71*$P71)*$R71,1)</f>
        <v>0</v>
      </c>
      <c r="L71" s="463">
        <v>0.71</v>
      </c>
      <c r="M71" s="463">
        <v>0.71</v>
      </c>
      <c r="N71" s="463">
        <v>0.71</v>
      </c>
      <c r="O71" s="244">
        <f>31.536/1000</f>
        <v>3.1536000000000002E-2</v>
      </c>
      <c r="P71" s="459">
        <v>0.15</v>
      </c>
      <c r="Q71" s="245">
        <v>20</v>
      </c>
      <c r="R71" s="227">
        <v>1.0900000000000001</v>
      </c>
      <c r="T71" s="268">
        <f t="shared" si="5"/>
        <v>0</v>
      </c>
      <c r="V71" s="592" t="str">
        <f>'Data manipulation'!$B$35</f>
        <v>Oil products</v>
      </c>
      <c r="W71" s="254" t="s">
        <v>729</v>
      </c>
      <c r="X71" s="246">
        <v>2015</v>
      </c>
      <c r="Y71" s="433">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5">
        <f>_xlfn.IFNA(INDEX('Data manipulation'!$C$23:$O$39,MATCH($V71,'Data manipulation'!$B$23:$B$39,0),MATCH($X71,'Data manipulation'!$C$22:$O$22,0))/1000,0)*SUMIFS('Regional split'!$F$4:$F$6,'Regional split'!$B$4:$B$6,AA$3)*SUMIFS('Data manipulation'!$V$39:$V$42,'Data manipulation'!$X$39:$X$42,$E71,'Data manipulation'!$Y$39:$Y$42,$D71)</f>
        <v>0</v>
      </c>
      <c r="AB71" s="444">
        <f t="shared" si="63"/>
        <v>0</v>
      </c>
      <c r="AC71" s="251">
        <f t="shared" si="64"/>
        <v>0</v>
      </c>
      <c r="AD71" s="445">
        <f t="shared" si="65"/>
        <v>0</v>
      </c>
      <c r="AE71" s="262"/>
      <c r="AU71" s="260"/>
      <c r="AZ71" s="252"/>
    </row>
    <row r="72" spans="2:52" ht="15" customHeight="1">
      <c r="B72" s="227" t="str">
        <f>B30</f>
        <v>CHTUMWPEE1</v>
      </c>
      <c r="C72" s="227" t="str">
        <f>C30</f>
        <v>Residential Heating Technology Urban Multi - Wood pellets - Existing 1</v>
      </c>
      <c r="D72" s="227" t="str">
        <f t="shared" ref="D72:E72" si="71">D30</f>
        <v>Urban</v>
      </c>
      <c r="E72" s="227" t="str">
        <f t="shared" si="71"/>
        <v>Multi storey</v>
      </c>
      <c r="F72" s="227" t="str">
        <f t="shared" ref="F72:G72" si="72">F30</f>
        <v>COMWPE</v>
      </c>
      <c r="G72" s="227" t="str">
        <f t="shared" si="72"/>
        <v>COMHUMB</v>
      </c>
      <c r="H72" s="230">
        <v>2015</v>
      </c>
      <c r="I72" s="250">
        <f t="shared" si="68"/>
        <v>0</v>
      </c>
      <c r="J72" s="250">
        <f t="shared" si="69"/>
        <v>0</v>
      </c>
      <c r="K72" s="250">
        <f t="shared" si="70"/>
        <v>0</v>
      </c>
      <c r="L72" s="463">
        <v>0.61</v>
      </c>
      <c r="M72" s="463">
        <v>0.61</v>
      </c>
      <c r="N72" s="463">
        <v>0.61</v>
      </c>
      <c r="O72" s="244">
        <f t="shared" ref="O72:O89" si="73">31.536/1000</f>
        <v>3.1536000000000002E-2</v>
      </c>
      <c r="P72" s="459">
        <v>0.15</v>
      </c>
      <c r="Q72" s="245">
        <v>20</v>
      </c>
      <c r="R72" s="227">
        <v>1.0900000000000001</v>
      </c>
      <c r="T72" s="268">
        <f t="shared" si="5"/>
        <v>0</v>
      </c>
      <c r="U72" s="268"/>
      <c r="W72" s="254" t="s">
        <v>866</v>
      </c>
      <c r="X72" s="246">
        <v>2015</v>
      </c>
      <c r="Y72" s="433">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5">
        <f>_xlfn.IFNA(INDEX('Data manipulation'!$C$23:$O$39,MATCH($V72,'Data manipulation'!$B$23:$B$39,0),MATCH($X72,'Data manipulation'!$C$22:$O$22,0))/1000,0)*SUMIFS('Regional split'!$F$4:$F$6,'Regional split'!$B$4:$B$6,AA$3)*SUMIFS('Data manipulation'!$V$39:$V$42,'Data manipulation'!$X$39:$X$42,$E72,'Data manipulation'!$Y$39:$Y$42,$D72)</f>
        <v>0</v>
      </c>
      <c r="AB72" s="444">
        <f t="shared" si="63"/>
        <v>0</v>
      </c>
      <c r="AC72" s="251">
        <f t="shared" si="64"/>
        <v>0</v>
      </c>
      <c r="AD72" s="445">
        <f t="shared" si="65"/>
        <v>0</v>
      </c>
      <c r="AE72" s="262"/>
      <c r="AU72" s="260"/>
      <c r="AZ72" s="252"/>
    </row>
    <row r="73" spans="2:52" ht="15" customHeight="1">
      <c r="B73" s="227" t="str">
        <f>B31</f>
        <v>CHTUMFIWE1</v>
      </c>
      <c r="C73" s="227" t="str">
        <f>C31</f>
        <v>Residential Heating Technology Urban Multi - Fire wood - Existing 1</v>
      </c>
      <c r="D73" s="227" t="str">
        <f t="shared" ref="D73:E73" si="74">D31</f>
        <v>Urban</v>
      </c>
      <c r="E73" s="227" t="str">
        <f t="shared" si="74"/>
        <v>Multi storey</v>
      </c>
      <c r="F73" s="227" t="str">
        <f t="shared" ref="F73:G73" si="75">F31</f>
        <v>COMFIW</v>
      </c>
      <c r="G73" s="227" t="str">
        <f t="shared" si="75"/>
        <v>COMHUMB</v>
      </c>
      <c r="H73" s="230">
        <v>2015</v>
      </c>
      <c r="I73" s="250">
        <f t="shared" si="68"/>
        <v>1993.1</v>
      </c>
      <c r="J73" s="250">
        <f t="shared" si="69"/>
        <v>0</v>
      </c>
      <c r="K73" s="250">
        <f t="shared" si="70"/>
        <v>0</v>
      </c>
      <c r="L73" s="463">
        <v>0.65000022993955098</v>
      </c>
      <c r="M73" s="463">
        <v>0.65000022993955098</v>
      </c>
      <c r="N73" s="463">
        <v>0.65000022993955098</v>
      </c>
      <c r="O73" s="244">
        <f t="shared" si="73"/>
        <v>3.1536000000000002E-2</v>
      </c>
      <c r="P73" s="459">
        <v>0.15</v>
      </c>
      <c r="Q73" s="245">
        <v>20</v>
      </c>
      <c r="R73" s="227">
        <v>1.0900000000000001</v>
      </c>
      <c r="T73" s="268">
        <f t="shared" si="5"/>
        <v>14.504856776553456</v>
      </c>
      <c r="U73" s="268"/>
      <c r="V73" s="592" t="str">
        <f>'Data manipulation'!$B$31</f>
        <v>Primary solid biofuels</v>
      </c>
      <c r="W73" s="254" t="s">
        <v>177</v>
      </c>
      <c r="X73" s="246">
        <v>2015</v>
      </c>
      <c r="Y73" s="433">
        <f>_xlfn.IFNA(INDEX('Data manipulation'!$C$23:$O$39,MATCH($V73,'Data manipulation'!$B$23:$B$39,0),MATCH($X73,'Data manipulation'!$C$22:$O$22,0))/1000,0)*SUMIFS('Regional split'!$F$4:$F$6,'Regional split'!$B$4:$B$6,Y$3)*SUMIFS('Data manipulation'!$V$39:$V$42,'Data manipulation'!$X$39:$X$42,$E73,'Data manipulation'!$Y$39:$Y$42,$D73)</f>
        <v>13.30675268433049</v>
      </c>
      <c r="Z73" s="270">
        <f>_xlfn.IFNA(INDEX('Data manipulation'!$C$23:$O$39,MATCH($V73,'Data manipulation'!$B$23:$B$39,0),MATCH($X73,'Data manipulation'!$C$22:$O$22,0))/1000,0)*SUMIFS('Regional split'!$F$4:$F$6,'Regional split'!$B$4:$B$6,Z$3)*SUMIFS('Data manipulation'!$V$39:$V$42,'Data manipulation'!$X$39:$X$42,$E73,'Data manipulation'!$Y$39:$Y$42,$D73)</f>
        <v>0</v>
      </c>
      <c r="AA73" s="455">
        <f>_xlfn.IFNA(INDEX('Data manipulation'!$C$23:$O$39,MATCH($V73,'Data manipulation'!$B$23:$B$39,0),MATCH($X73,'Data manipulation'!$C$22:$O$22,0))/1000,0)*SUMIFS('Regional split'!$F$4:$F$6,'Regional split'!$B$4:$B$6,AA$3)*SUMIFS('Data manipulation'!$V$39:$V$42,'Data manipulation'!$X$39:$X$42,$E73,'Data manipulation'!$Y$39:$Y$42,$D73)</f>
        <v>0</v>
      </c>
      <c r="AB73" s="444">
        <f t="shared" si="63"/>
        <v>8.6493923045635555</v>
      </c>
      <c r="AC73" s="251">
        <f t="shared" si="64"/>
        <v>0</v>
      </c>
      <c r="AD73" s="445">
        <f t="shared" si="65"/>
        <v>0</v>
      </c>
      <c r="AE73" s="262"/>
      <c r="AU73" s="260"/>
      <c r="AZ73" s="252"/>
    </row>
    <row r="74" spans="2:52" ht="15" customHeight="1">
      <c r="B74" s="233" t="str">
        <f>B32</f>
        <v>CHTUMCOAE1</v>
      </c>
      <c r="C74" s="233" t="str">
        <f>C32</f>
        <v>Residential Heating Technology Urban Multi - Coal - Existing 1</v>
      </c>
      <c r="D74" s="233" t="str">
        <f t="shared" ref="D74:E74" si="76">D32</f>
        <v>Urban</v>
      </c>
      <c r="E74" s="233" t="str">
        <f t="shared" si="76"/>
        <v>Multi storey</v>
      </c>
      <c r="F74" s="233" t="str">
        <f t="shared" ref="F74:G74" si="77">F32</f>
        <v>COMCOA</v>
      </c>
      <c r="G74" s="233" t="str">
        <f t="shared" si="77"/>
        <v>COMHUMB</v>
      </c>
      <c r="H74" s="230">
        <v>2015</v>
      </c>
      <c r="I74" s="250">
        <f t="shared" si="68"/>
        <v>344.20000000000005</v>
      </c>
      <c r="J74" s="250">
        <f t="shared" si="69"/>
        <v>0</v>
      </c>
      <c r="K74" s="250">
        <f t="shared" si="70"/>
        <v>0</v>
      </c>
      <c r="L74" s="463">
        <v>0.7</v>
      </c>
      <c r="M74" s="463">
        <v>0.7</v>
      </c>
      <c r="N74" s="463">
        <v>0.7</v>
      </c>
      <c r="O74" s="244">
        <f t="shared" si="73"/>
        <v>3.1536000000000002E-2</v>
      </c>
      <c r="P74" s="459">
        <v>0.15</v>
      </c>
      <c r="Q74" s="245">
        <v>20</v>
      </c>
      <c r="R74" s="227">
        <v>1.0900000000000001</v>
      </c>
      <c r="T74" s="268">
        <f t="shared" si="5"/>
        <v>2.3260052571428576</v>
      </c>
      <c r="U74" s="268"/>
      <c r="V74" s="592" t="str">
        <f>'Data manipulation'!$B$23</f>
        <v>Solid fossil fuels, peat, peat products, oil shale and oil sands</v>
      </c>
      <c r="W74" s="254" t="s">
        <v>863</v>
      </c>
      <c r="X74" s="246">
        <v>2015</v>
      </c>
      <c r="Y74" s="433">
        <f>_xlfn.IFNA(INDEX('Data manipulation'!$C$23:$O$39,MATCH($V74,'Data manipulation'!$B$23:$B$39,0),MATCH($X74,'Data manipulation'!$C$22:$O$22,0))/1000,0)*SUMIFS('Regional split'!$F$4:$F$6,'Regional split'!$B$4:$B$6,Y$3)*SUMIFS('Data manipulation'!$V$39:$V$42,'Data manipulation'!$X$39:$X$42,$E74,'Data manipulation'!$Y$39:$Y$42,$D74)</f>
        <v>2.1334041400000001</v>
      </c>
      <c r="Z74" s="270">
        <f>_xlfn.IFNA(INDEX('Data manipulation'!$C$23:$O$39,MATCH($V74,'Data manipulation'!$B$23:$B$39,0),MATCH($X74,'Data manipulation'!$C$22:$O$22,0))/1000,0)*SUMIFS('Regional split'!$F$4:$F$6,'Regional split'!$B$4:$B$6,Z$3)*SUMIFS('Data manipulation'!$V$39:$V$42,'Data manipulation'!$X$39:$X$42,$E74,'Data manipulation'!$Y$39:$Y$42,$D74)</f>
        <v>0</v>
      </c>
      <c r="AA74" s="455">
        <f>_xlfn.IFNA(INDEX('Data manipulation'!$C$23:$O$39,MATCH($V74,'Data manipulation'!$B$23:$B$39,0),MATCH($X74,'Data manipulation'!$C$22:$O$22,0))/1000,0)*SUMIFS('Regional split'!$F$4:$F$6,'Regional split'!$B$4:$B$6,AA$3)*SUMIFS('Data manipulation'!$V$39:$V$42,'Data manipulation'!$X$39:$X$42,$E74,'Data manipulation'!$Y$39:$Y$42,$D74)</f>
        <v>0</v>
      </c>
      <c r="AB74" s="444">
        <f t="shared" si="63"/>
        <v>1.4933828979999999</v>
      </c>
      <c r="AC74" s="251">
        <f t="shared" si="64"/>
        <v>0</v>
      </c>
      <c r="AD74" s="445">
        <f t="shared" si="65"/>
        <v>0</v>
      </c>
      <c r="AE74" s="262"/>
      <c r="AU74" s="260"/>
      <c r="AZ74" s="252"/>
    </row>
    <row r="75" spans="2:52" ht="15" customHeight="1">
      <c r="B75" s="233" t="str">
        <f>B33</f>
        <v>CHTUMSOLE1</v>
      </c>
      <c r="C75" s="233" t="str">
        <f>C33</f>
        <v>Residential Heating Technology Urban Multi - Solar - Existing 1</v>
      </c>
      <c r="D75" s="233" t="str">
        <f t="shared" ref="D75:E75" si="78">D33</f>
        <v>Urban</v>
      </c>
      <c r="E75" s="233" t="str">
        <f t="shared" si="78"/>
        <v>Multi storey</v>
      </c>
      <c r="F75" s="233" t="str">
        <f t="shared" ref="F75:G75" si="79">F33</f>
        <v>COMSOL</v>
      </c>
      <c r="G75" s="233" t="str">
        <f t="shared" si="79"/>
        <v>COMHUMB</v>
      </c>
      <c r="H75" s="230">
        <v>2015</v>
      </c>
      <c r="I75" s="250">
        <f t="shared" si="68"/>
        <v>10.199999999999999</v>
      </c>
      <c r="J75" s="250">
        <f t="shared" si="69"/>
        <v>0</v>
      </c>
      <c r="K75" s="250">
        <f t="shared" si="70"/>
        <v>0</v>
      </c>
      <c r="L75" s="463">
        <v>1</v>
      </c>
      <c r="M75" s="463">
        <v>1</v>
      </c>
      <c r="N75" s="463">
        <v>1</v>
      </c>
      <c r="O75" s="244">
        <f t="shared" si="73"/>
        <v>3.1536000000000002E-2</v>
      </c>
      <c r="P75" s="459">
        <v>0.15</v>
      </c>
      <c r="Q75" s="245">
        <v>20</v>
      </c>
      <c r="R75" s="227">
        <v>1.0900000000000001</v>
      </c>
      <c r="T75" s="268">
        <f t="shared" ref="T75:T178" si="80">SUM(I75:K75)*O75*P75/L75</f>
        <v>4.8250079999999994E-2</v>
      </c>
      <c r="U75" s="268"/>
      <c r="V75" s="592" t="str">
        <f>'Data manipulation'!$B$29</f>
        <v>Solar thermal</v>
      </c>
      <c r="W75" s="254" t="s">
        <v>169</v>
      </c>
      <c r="X75" s="246">
        <v>2015</v>
      </c>
      <c r="Y75" s="433">
        <f>_xlfn.IFNA(INDEX('Data manipulation'!$C$23:$O$39,MATCH($V75,'Data manipulation'!$B$23:$B$39,0),MATCH($X75,'Data manipulation'!$C$22:$O$22,0))/1000,0)*SUMIFS('Regional split'!$F$4:$F$6,'Regional split'!$B$4:$B$6,Y$3)*SUMIFS('Data manipulation'!$V$39:$V$42,'Data manipulation'!$X$39:$X$42,$E75,'Data manipulation'!$Y$39:$Y$42,$D75)</f>
        <v>4.3943557000000015E-2</v>
      </c>
      <c r="Z75" s="270">
        <f>_xlfn.IFNA(INDEX('Data manipulation'!$C$23:$O$39,MATCH($V75,'Data manipulation'!$B$23:$B$39,0),MATCH($X75,'Data manipulation'!$C$22:$O$22,0))/1000,0)*SUMIFS('Regional split'!$F$4:$F$6,'Regional split'!$B$4:$B$6,Z$3)*SUMIFS('Data manipulation'!$V$39:$V$42,'Data manipulation'!$X$39:$X$42,$E75,'Data manipulation'!$Y$39:$Y$42,$D75)</f>
        <v>0</v>
      </c>
      <c r="AA75" s="455">
        <f>_xlfn.IFNA(INDEX('Data manipulation'!$C$23:$O$39,MATCH($V75,'Data manipulation'!$B$23:$B$39,0),MATCH($X75,'Data manipulation'!$C$22:$O$22,0))/1000,0)*SUMIFS('Regional split'!$F$4:$F$6,'Regional split'!$B$4:$B$6,AA$3)*SUMIFS('Data manipulation'!$V$39:$V$42,'Data manipulation'!$X$39:$X$42,$E75,'Data manipulation'!$Y$39:$Y$42,$D75)</f>
        <v>0</v>
      </c>
      <c r="AB75" s="444">
        <f t="shared" si="63"/>
        <v>4.3943557000000015E-2</v>
      </c>
      <c r="AC75" s="251">
        <f t="shared" si="64"/>
        <v>0</v>
      </c>
      <c r="AD75" s="445">
        <f t="shared" si="65"/>
        <v>0</v>
      </c>
      <c r="AE75" s="262"/>
      <c r="AU75" s="260"/>
      <c r="AZ75" s="252"/>
    </row>
    <row r="76" spans="2:52" ht="15" customHeight="1">
      <c r="B76" s="233" t="str">
        <f>B35</f>
        <v>CHTUMELCHE1</v>
      </c>
      <c r="C76" s="233" t="str">
        <f>C35</f>
        <v>Residential Heating Technology Urban Multi - Electricity Heating - Existing 1</v>
      </c>
      <c r="D76" s="233" t="str">
        <f t="shared" ref="D76:E76" si="81">D35</f>
        <v>Urban</v>
      </c>
      <c r="E76" s="233" t="str">
        <f t="shared" si="81"/>
        <v>Multi storey</v>
      </c>
      <c r="F76" s="233" t="str">
        <f t="shared" ref="F76:G76" si="82">F35</f>
        <v>COMELCH</v>
      </c>
      <c r="G76" s="233" t="str">
        <f t="shared" si="82"/>
        <v>COMHUMB</v>
      </c>
      <c r="H76" s="230">
        <v>2015</v>
      </c>
      <c r="I76" s="250">
        <f t="shared" si="68"/>
        <v>1906.8999999999999</v>
      </c>
      <c r="J76" s="250">
        <f t="shared" si="69"/>
        <v>0</v>
      </c>
      <c r="K76" s="250">
        <f t="shared" si="70"/>
        <v>0</v>
      </c>
      <c r="L76" s="463">
        <v>1</v>
      </c>
      <c r="M76" s="463">
        <v>1</v>
      </c>
      <c r="N76" s="463">
        <v>1</v>
      </c>
      <c r="O76" s="244">
        <f t="shared" si="73"/>
        <v>3.1536000000000002E-2</v>
      </c>
      <c r="P76" s="459">
        <v>0.15</v>
      </c>
      <c r="Q76" s="245">
        <v>30</v>
      </c>
      <c r="R76" s="227">
        <v>1.0900000000000001</v>
      </c>
      <c r="T76" s="268">
        <f t="shared" si="80"/>
        <v>9.0203997600000001</v>
      </c>
      <c r="U76" s="268"/>
      <c r="V76" s="592" t="str">
        <f>'Data manipulation'!$B$33</f>
        <v>Electricity</v>
      </c>
      <c r="W76" s="254" t="s">
        <v>170</v>
      </c>
      <c r="X76" s="246">
        <v>2015</v>
      </c>
      <c r="Y76" s="433">
        <f>_xlfn.IFNA(INDEX('Data manipulation'!$C$23:$O$39,MATCH($V76,'Data manipulation'!$B$23:$B$39,0),MATCH($X76,'Data manipulation'!$C$22:$O$22,0))/1000,0)*SUMIFS('Regional split'!$F$4:$F$6,'Regional split'!$B$4:$B$6,Y$3)*SUMIFS('Data manipulation'!$V$39:$V$42,'Data manipulation'!$X$39:$X$42,$E76,'Data manipulation'!$Y$39:$Y$42,$D76)</f>
        <v>8.2755394746306798</v>
      </c>
      <c r="Z76" s="270">
        <f>_xlfn.IFNA(INDEX('Data manipulation'!$C$23:$O$39,MATCH($V76,'Data manipulation'!$B$23:$B$39,0),MATCH($X76,'Data manipulation'!$C$22:$O$22,0))/1000,0)*SUMIFS('Regional split'!$F$4:$F$6,'Regional split'!$B$4:$B$6,Z$3)*SUMIFS('Data manipulation'!$V$39:$V$42,'Data manipulation'!$X$39:$X$42,$E76,'Data manipulation'!$Y$39:$Y$42,$D76)</f>
        <v>0</v>
      </c>
      <c r="AA76" s="455">
        <f>_xlfn.IFNA(INDEX('Data manipulation'!$C$23:$O$39,MATCH($V76,'Data manipulation'!$B$23:$B$39,0),MATCH($X76,'Data manipulation'!$C$22:$O$22,0))/1000,0)*SUMIFS('Regional split'!$F$4:$F$6,'Regional split'!$B$4:$B$6,AA$3)*SUMIFS('Data manipulation'!$V$39:$V$42,'Data manipulation'!$X$39:$X$42,$E76,'Data manipulation'!$Y$39:$Y$42,$D76)</f>
        <v>0</v>
      </c>
      <c r="AB76" s="444">
        <f t="shared" si="63"/>
        <v>8.2755394746306798</v>
      </c>
      <c r="AC76" s="251">
        <f t="shared" si="64"/>
        <v>0</v>
      </c>
      <c r="AD76" s="445">
        <f t="shared" si="65"/>
        <v>0</v>
      </c>
      <c r="AU76" s="260"/>
      <c r="AZ76" s="252"/>
    </row>
    <row r="77" spans="2:52" ht="15" customHeight="1">
      <c r="B77" s="233" t="str">
        <f>B36</f>
        <v>CHTUMELCHE2</v>
      </c>
      <c r="C77" s="233" t="str">
        <f>C36</f>
        <v>Residential Heating Technology Urban Multi - Electricity Heating - Existing 2</v>
      </c>
      <c r="D77" s="233" t="str">
        <f t="shared" ref="D77:E77" si="83">D36</f>
        <v>Urban</v>
      </c>
      <c r="E77" s="233" t="str">
        <f t="shared" si="83"/>
        <v>Multi storey</v>
      </c>
      <c r="F77" s="233" t="str">
        <f t="shared" ref="F77:G77" si="84">F36</f>
        <v>COMELCH</v>
      </c>
      <c r="G77" s="233" t="str">
        <f t="shared" si="84"/>
        <v>COMHUMB</v>
      </c>
      <c r="H77" s="230">
        <v>2015</v>
      </c>
      <c r="I77" s="250">
        <f t="shared" si="68"/>
        <v>330.3</v>
      </c>
      <c r="J77" s="250">
        <f t="shared" si="69"/>
        <v>0</v>
      </c>
      <c r="K77" s="250">
        <f t="shared" si="70"/>
        <v>0</v>
      </c>
      <c r="L77" s="463">
        <v>2.3149999999999999</v>
      </c>
      <c r="M77" s="463">
        <v>2.3149999999999999</v>
      </c>
      <c r="N77" s="463">
        <v>2.3149999999999999</v>
      </c>
      <c r="O77" s="244">
        <f t="shared" si="73"/>
        <v>3.1536000000000002E-2</v>
      </c>
      <c r="P77" s="459">
        <v>0.15</v>
      </c>
      <c r="Q77" s="245">
        <v>30</v>
      </c>
      <c r="R77" s="227">
        <v>1.0900000000000001</v>
      </c>
      <c r="T77" s="268">
        <f t="shared" si="80"/>
        <v>0.67492488984881205</v>
      </c>
      <c r="U77" s="268"/>
      <c r="V77" s="592" t="str">
        <f>'Data manipulation'!$B$30</f>
        <v>Ambient heat (heat pumps)</v>
      </c>
      <c r="W77" s="254" t="s">
        <v>171</v>
      </c>
      <c r="X77" s="246">
        <v>2015</v>
      </c>
      <c r="Y77" s="433">
        <f>_xlfn.IFNA(INDEX('Data manipulation'!$C$23:$O$39,MATCH($V77,'Data manipulation'!$B$23:$B$39,0),MATCH($X77,'Data manipulation'!$C$22:$O$22,0))/1000,0)*SUMIFS('Regional split'!$F$4:$F$6,'Regional split'!$B$4:$B$6,Y$3)*SUMIFS('Data manipulation'!$V$39:$V$42,'Data manipulation'!$X$39:$X$42,$E77,'Data manipulation'!$Y$39:$Y$42,$D77)</f>
        <v>0.61908392000000012</v>
      </c>
      <c r="Z77" s="270">
        <f>_xlfn.IFNA(INDEX('Data manipulation'!$C$23:$O$39,MATCH($V77,'Data manipulation'!$B$23:$B$39,0),MATCH($X77,'Data manipulation'!$C$22:$O$22,0))/1000,0)*SUMIFS('Regional split'!$F$4:$F$6,'Regional split'!$B$4:$B$6,Z$3)*SUMIFS('Data manipulation'!$V$39:$V$42,'Data manipulation'!$X$39:$X$42,$E77,'Data manipulation'!$Y$39:$Y$42,$D77)</f>
        <v>0</v>
      </c>
      <c r="AA77" s="455">
        <f>_xlfn.IFNA(INDEX('Data manipulation'!$C$23:$O$39,MATCH($V77,'Data manipulation'!$B$23:$B$39,0),MATCH($X77,'Data manipulation'!$C$22:$O$22,0))/1000,0)*SUMIFS('Regional split'!$F$4:$F$6,'Regional split'!$B$4:$B$6,AA$3)*SUMIFS('Data manipulation'!$V$39:$V$42,'Data manipulation'!$X$39:$X$42,$E77,'Data manipulation'!$Y$39:$Y$42,$D77)</f>
        <v>0</v>
      </c>
      <c r="AB77" s="444">
        <f t="shared" si="63"/>
        <v>1.4331792748000003</v>
      </c>
      <c r="AC77" s="251">
        <f t="shared" si="64"/>
        <v>0</v>
      </c>
      <c r="AD77" s="445">
        <f t="shared" si="65"/>
        <v>0</v>
      </c>
      <c r="AU77" s="260"/>
      <c r="AZ77" s="252"/>
    </row>
    <row r="78" spans="2:52" ht="15" customHeight="1">
      <c r="B78" s="233" t="str">
        <f>B37</f>
        <v>CHTUMHCEE1</v>
      </c>
      <c r="C78" s="233" t="str">
        <f>C37</f>
        <v>Residential Heating Technology Urban Multi - District heating Central - Existing 1</v>
      </c>
      <c r="D78" s="233" t="str">
        <f t="shared" ref="D78:E78" si="85">D37</f>
        <v>Urban</v>
      </c>
      <c r="E78" s="233" t="str">
        <f t="shared" si="85"/>
        <v>Multi storey</v>
      </c>
      <c r="F78" s="233" t="str">
        <f t="shared" ref="F78:G78" si="86">F37</f>
        <v>COMHCE</v>
      </c>
      <c r="G78" s="233" t="str">
        <f t="shared" si="86"/>
        <v>COMHUMX</v>
      </c>
      <c r="H78" s="230">
        <v>2015</v>
      </c>
      <c r="I78" s="250">
        <f t="shared" si="68"/>
        <v>3074.2999999999997</v>
      </c>
      <c r="J78" s="568">
        <v>0</v>
      </c>
      <c r="K78" s="568">
        <v>0</v>
      </c>
      <c r="L78" s="463">
        <v>0.95</v>
      </c>
      <c r="M78" s="463">
        <v>0.95</v>
      </c>
      <c r="N78" s="463">
        <v>0.95</v>
      </c>
      <c r="O78" s="244">
        <f t="shared" si="73"/>
        <v>3.1536000000000002E-2</v>
      </c>
      <c r="P78" s="459">
        <v>0.15</v>
      </c>
      <c r="Q78" s="245">
        <v>30</v>
      </c>
      <c r="R78" s="227">
        <v>1.05</v>
      </c>
      <c r="T78" s="268">
        <f t="shared" si="80"/>
        <v>15.308072336842105</v>
      </c>
      <c r="U78" s="268"/>
      <c r="V78" s="592" t="str">
        <f>'Data manipulation'!$B$34</f>
        <v>Heat</v>
      </c>
      <c r="W78" s="254" t="s">
        <v>172</v>
      </c>
      <c r="X78" s="246">
        <v>2015</v>
      </c>
      <c r="Y78" s="433">
        <f>_xlfn.IFNA(INDEX('Data manipulation'!$C$23:$O$39,MATCH($V78,'Data manipulation'!$B$23:$B$39,0),MATCH($X78,'Data manipulation'!$C$22:$O$22,0))/1000,0)*SUMIFS('Regional split'!$F$4:$F$6,'Regional split'!$B$4:$B$6,Y$3)*SUMIFS('Data manipulation'!$V$39:$V$42,'Data manipulation'!$X$39:$X$42,$E78,'Data manipulation'!$Y$39:$Y$42,$D78)</f>
        <v>14.578647364916829</v>
      </c>
      <c r="Z78" s="270">
        <f>_xlfn.IFNA(INDEX('Data manipulation'!$C$23:$O$39,MATCH($V78,'Data manipulation'!$B$23:$B$39,0),MATCH($X78,'Data manipulation'!$C$22:$O$22,0))/1000,0)*SUMIFS('Regional split'!$F$4:$F$6,'Regional split'!$B$4:$B$6,Z$3)*SUMIFS('Data manipulation'!$V$39:$V$42,'Data manipulation'!$X$39:$X$42,$E78,'Data manipulation'!$Y$39:$Y$42,$D78)</f>
        <v>0</v>
      </c>
      <c r="AA78" s="455">
        <f>_xlfn.IFNA(INDEX('Data manipulation'!$C$23:$O$39,MATCH($V78,'Data manipulation'!$B$23:$B$39,0),MATCH($X78,'Data manipulation'!$C$22:$O$22,0))/1000,0)*SUMIFS('Regional split'!$F$4:$F$6,'Regional split'!$B$4:$B$6,AA$3)*SUMIFS('Data manipulation'!$V$39:$V$42,'Data manipulation'!$X$39:$X$42,$E78,'Data manipulation'!$Y$39:$Y$42,$D78)</f>
        <v>0</v>
      </c>
      <c r="AB78" s="444">
        <f t="shared" si="63"/>
        <v>13.849714996670988</v>
      </c>
      <c r="AC78" s="251">
        <f t="shared" si="64"/>
        <v>0</v>
      </c>
      <c r="AD78" s="445">
        <f t="shared" si="65"/>
        <v>0</v>
      </c>
      <c r="AU78" s="260"/>
      <c r="AZ78" s="252"/>
    </row>
    <row r="79" spans="2:52" ht="15" customHeight="1" thickBot="1">
      <c r="B79" s="255" t="str">
        <f>B38</f>
        <v>CHTUMLPGE1</v>
      </c>
      <c r="C79" s="255" t="str">
        <f>C38</f>
        <v>Residential Heating Technology Urban Multi - LPG - Existing 1</v>
      </c>
      <c r="D79" s="531" t="str">
        <f t="shared" ref="D79:E79" si="87">D38</f>
        <v>Urban</v>
      </c>
      <c r="E79" s="531" t="str">
        <f t="shared" si="87"/>
        <v>Multi storey</v>
      </c>
      <c r="F79" s="255" t="str">
        <f t="shared" ref="F79:G79" si="88">F38</f>
        <v>COMLPG</v>
      </c>
      <c r="G79" s="255" t="str">
        <f t="shared" si="88"/>
        <v>COMHUMB</v>
      </c>
      <c r="H79" s="423">
        <v>2015</v>
      </c>
      <c r="I79" s="297">
        <f t="shared" ref="I79" si="89">ROUNDUP(AB79/($O79*$P79)*$R79,1)</f>
        <v>722.5</v>
      </c>
      <c r="J79" s="297">
        <f t="shared" ref="J79" si="90">ROUNDUP(AC79/($O79*$P79)*$R79,1)</f>
        <v>0</v>
      </c>
      <c r="K79" s="297">
        <f t="shared" ref="K79" si="91">ROUNDUP(AD79/($O79*$P79)*$R79,1)</f>
        <v>0</v>
      </c>
      <c r="L79" s="464">
        <v>0.95</v>
      </c>
      <c r="M79" s="464">
        <v>0.95</v>
      </c>
      <c r="N79" s="464">
        <v>0.95</v>
      </c>
      <c r="O79" s="257">
        <f t="shared" si="73"/>
        <v>3.1536000000000002E-2</v>
      </c>
      <c r="P79" s="460">
        <v>0.15</v>
      </c>
      <c r="Q79" s="258">
        <v>30</v>
      </c>
      <c r="R79" s="227">
        <v>1.0900000000000001</v>
      </c>
      <c r="T79" s="268">
        <f t="shared" si="80"/>
        <v>3.5975936842105267</v>
      </c>
      <c r="U79" s="268"/>
      <c r="V79" s="593" t="str">
        <f>'Data manipulation'!$B$25</f>
        <v>Liquefied natural gas</v>
      </c>
      <c r="W79" s="428" t="s">
        <v>771</v>
      </c>
      <c r="X79" s="246">
        <v>2015</v>
      </c>
      <c r="Y79" s="434">
        <f>_xlfn.IFNA(INDEX('Data manipulation'!$C$23:$O$39,MATCH($V79,'Data manipulation'!$B$23:$B$39,0),MATCH($X79,'Data manipulation'!$C$22:$O$22,0))/1000,0)*SUMIFS('Regional split'!$F$4:$F$6,'Regional split'!$B$4:$B$6,Y$3)*SUMIFS('Data manipulation'!$V$39:$V$42,'Data manipulation'!$X$39:$X$42,$E79,'Data manipulation'!$Y$39:$Y$42,$D79)</f>
        <v>3.3003825887600549</v>
      </c>
      <c r="Z79" s="431">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51">
        <f t="shared" si="63"/>
        <v>3.1353634593220518</v>
      </c>
      <c r="AC79" s="277">
        <f t="shared" si="64"/>
        <v>0</v>
      </c>
      <c r="AD79" s="447">
        <f t="shared" si="65"/>
        <v>0</v>
      </c>
      <c r="AU79" s="260"/>
      <c r="AZ79" s="252"/>
    </row>
    <row r="80" spans="2:52" ht="15" customHeight="1">
      <c r="B80" s="233" t="str">
        <f>B39</f>
        <v>CHTRMNGAE1</v>
      </c>
      <c r="C80" s="233" t="str">
        <f>C39</f>
        <v>Residential Heating Technology Rural Multi - Natural Gas - Existing 1</v>
      </c>
      <c r="D80" s="233" t="str">
        <f t="shared" ref="D80:E80" si="92">D39</f>
        <v>Rural</v>
      </c>
      <c r="E80" s="233" t="str">
        <f t="shared" si="92"/>
        <v>Multi storey</v>
      </c>
      <c r="F80" s="233" t="str">
        <f t="shared" ref="F80:G80" si="93">F39</f>
        <v>COMNGA,COMSNG</v>
      </c>
      <c r="G80" s="233" t="str">
        <f t="shared" si="93"/>
        <v>COMHRMB</v>
      </c>
      <c r="H80" s="259">
        <v>2015</v>
      </c>
      <c r="I80" s="250">
        <f>ROUNDUP(AB80/($O80*$P80)*$R80,1)</f>
        <v>1140.1999999999998</v>
      </c>
      <c r="J80" s="250">
        <f>ROUNDUP(AC80/($O80*$P80)*$R80,1)</f>
        <v>0</v>
      </c>
      <c r="K80" s="250">
        <f>ROUNDUP(AD80/($O80*$P80)*$R80,1)</f>
        <v>0</v>
      </c>
      <c r="L80" s="463">
        <v>0.79</v>
      </c>
      <c r="M80" s="463">
        <v>0.79</v>
      </c>
      <c r="N80" s="463">
        <v>0.79</v>
      </c>
      <c r="O80" s="244">
        <f t="shared" si="73"/>
        <v>3.1536000000000002E-2</v>
      </c>
      <c r="P80" s="459">
        <v>0.15</v>
      </c>
      <c r="Q80" s="245">
        <v>25</v>
      </c>
      <c r="R80" s="227">
        <v>1.0900000000000001</v>
      </c>
      <c r="T80" s="268">
        <f t="shared" si="80"/>
        <v>6.8273444050632897</v>
      </c>
      <c r="U80" s="268"/>
      <c r="V80" s="592" t="str">
        <f>'Data manipulation'!$B$36</f>
        <v>Natural gas and biogas</v>
      </c>
      <c r="W80" s="246" t="s">
        <v>168</v>
      </c>
      <c r="X80" s="246">
        <v>2015</v>
      </c>
      <c r="Y80" s="433">
        <f>_xlfn.IFNA(INDEX('Data manipulation'!$C$23:$O$39,MATCH($V80,'Data manipulation'!$B$23:$B$39,0),MATCH($X80,'Data manipulation'!$C$22:$O$22,0))/1000,0)*SUMIFS('Regional split'!$F$4:$F$6,'Regional split'!$B$4:$B$6,Y$3)*SUMIFS('Data manipulation'!$V$39:$V$42,'Data manipulation'!$X$39:$X$42,$E80,'Data manipulation'!$Y$39:$Y$42,$D80)</f>
        <v>6.2634557219211002</v>
      </c>
      <c r="Z80" s="270">
        <f>_xlfn.IFNA(INDEX('Data manipulation'!$C$23:$O$39,MATCH($V80,'Data manipulation'!$B$23:$B$39,0),MATCH($X80,'Data manipulation'!$C$22:$O$22,0))/1000,0)*SUMIFS('Regional split'!$F$4:$F$6,'Regional split'!$B$4:$B$6,Z$3)*SUMIFS('Data manipulation'!$V$39:$V$42,'Data manipulation'!$X$39:$X$42,$E80,'Data manipulation'!$Y$39:$Y$42,$D80)</f>
        <v>0</v>
      </c>
      <c r="AA80" s="455">
        <f>_xlfn.IFNA(INDEX('Data manipulation'!$C$23:$O$39,MATCH($V80,'Data manipulation'!$B$23:$B$39,0),MATCH($X80,'Data manipulation'!$C$22:$O$22,0))/1000,0)*SUMIFS('Regional split'!$F$4:$F$6,'Regional split'!$B$4:$B$6,AA$3)*SUMIFS('Data manipulation'!$V$39:$V$42,'Data manipulation'!$X$39:$X$42,$E80,'Data manipulation'!$Y$39:$Y$42,$D80)</f>
        <v>0</v>
      </c>
      <c r="AB80" s="452">
        <f t="shared" si="63"/>
        <v>4.9481300203176692</v>
      </c>
      <c r="AC80" s="278">
        <f t="shared" si="64"/>
        <v>0</v>
      </c>
      <c r="AD80" s="448">
        <f t="shared" si="65"/>
        <v>0</v>
      </c>
      <c r="AU80" s="260"/>
      <c r="AZ80" s="252"/>
    </row>
    <row r="81" spans="2:52" ht="15" customHeight="1">
      <c r="B81" s="233" t="str">
        <f>B40</f>
        <v>CHTRMDSLE1</v>
      </c>
      <c r="C81" s="233" t="str">
        <f>C40</f>
        <v>Residential Heating Technology Rural Multi - Diesel - Existing 1</v>
      </c>
      <c r="D81" s="233" t="str">
        <f t="shared" ref="D81:E81" si="94">D40</f>
        <v>Rural</v>
      </c>
      <c r="E81" s="233" t="str">
        <f t="shared" si="94"/>
        <v>Multi storey</v>
      </c>
      <c r="F81" s="233" t="str">
        <f t="shared" ref="F81:G81" si="95">F40</f>
        <v>COMDSL,COMDSB</v>
      </c>
      <c r="G81" s="233" t="str">
        <f t="shared" si="95"/>
        <v>COMHRMB</v>
      </c>
      <c r="H81" s="259">
        <v>2015</v>
      </c>
      <c r="I81" s="250">
        <f t="shared" ref="I81:I87" si="96">ROUNDUP(AB81/($O81*$P81)*$R81,1)</f>
        <v>0</v>
      </c>
      <c r="J81" s="250">
        <f t="shared" ref="J81:J87" si="97">ROUNDUP(AC81/($O81*$P81)*$R81,1)</f>
        <v>0</v>
      </c>
      <c r="K81" s="250">
        <f t="shared" ref="K81:K87" si="98">ROUNDUP(AD81/($O81*$P81)*$R81,1)</f>
        <v>0</v>
      </c>
      <c r="L81" s="463">
        <v>0.79</v>
      </c>
      <c r="M81" s="463">
        <v>0.79</v>
      </c>
      <c r="N81" s="463">
        <v>0.79</v>
      </c>
      <c r="O81" s="244">
        <f t="shared" si="73"/>
        <v>3.1536000000000002E-2</v>
      </c>
      <c r="P81" s="459">
        <v>0.15</v>
      </c>
      <c r="Q81" s="245">
        <v>20</v>
      </c>
      <c r="R81" s="227">
        <v>1.0900000000000001</v>
      </c>
      <c r="T81" s="268">
        <f t="shared" si="80"/>
        <v>0</v>
      </c>
      <c r="V81" s="592" t="str">
        <f>'Data manipulation'!$B$35</f>
        <v>Oil products</v>
      </c>
      <c r="W81" s="254" t="s">
        <v>729</v>
      </c>
      <c r="X81" s="246">
        <v>2015</v>
      </c>
      <c r="Y81" s="433">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5">
        <f>_xlfn.IFNA(INDEX('Data manipulation'!$C$23:$O$39,MATCH($V81,'Data manipulation'!$B$23:$B$39,0),MATCH($X81,'Data manipulation'!$C$22:$O$22,0))/1000,0)*SUMIFS('Regional split'!$F$4:$F$6,'Regional split'!$B$4:$B$6,AA$3)*SUMIFS('Data manipulation'!$V$39:$V$42,'Data manipulation'!$X$39:$X$42,$E81,'Data manipulation'!$Y$39:$Y$42,$D81)</f>
        <v>0</v>
      </c>
      <c r="AB81" s="444">
        <f t="shared" si="63"/>
        <v>0</v>
      </c>
      <c r="AC81" s="251">
        <f t="shared" si="64"/>
        <v>0</v>
      </c>
      <c r="AD81" s="445">
        <f t="shared" si="65"/>
        <v>0</v>
      </c>
      <c r="AU81" s="260"/>
      <c r="AZ81" s="252"/>
    </row>
    <row r="82" spans="2:52" ht="15" customHeight="1">
      <c r="B82" s="233" t="str">
        <f>B41</f>
        <v>CHTRMWPEE1</v>
      </c>
      <c r="C82" s="233" t="str">
        <f>C41</f>
        <v>Residential Heating Technology Rural Multi - Wood pellets - Existing 1</v>
      </c>
      <c r="D82" s="233" t="str">
        <f t="shared" ref="D82:E82" si="99">D41</f>
        <v>Rural</v>
      </c>
      <c r="E82" s="233" t="str">
        <f t="shared" si="99"/>
        <v>Multi storey</v>
      </c>
      <c r="F82" s="233" t="str">
        <f t="shared" ref="F82:G82" si="100">F41</f>
        <v>COMWPE</v>
      </c>
      <c r="G82" s="233" t="str">
        <f t="shared" si="100"/>
        <v>COMHRMB</v>
      </c>
      <c r="H82" s="259">
        <v>2015</v>
      </c>
      <c r="I82" s="250">
        <f t="shared" si="96"/>
        <v>0</v>
      </c>
      <c r="J82" s="250">
        <f t="shared" si="97"/>
        <v>0</v>
      </c>
      <c r="K82" s="250">
        <f t="shared" si="98"/>
        <v>0</v>
      </c>
      <c r="L82" s="463">
        <v>0.67</v>
      </c>
      <c r="M82" s="463">
        <v>0.67</v>
      </c>
      <c r="N82" s="463">
        <v>0.67</v>
      </c>
      <c r="O82" s="244">
        <f>31.536/1000</f>
        <v>3.1536000000000002E-2</v>
      </c>
      <c r="P82" s="459">
        <v>0.15</v>
      </c>
      <c r="Q82" s="245">
        <v>20</v>
      </c>
      <c r="R82" s="227">
        <v>1.0900000000000001</v>
      </c>
      <c r="T82" s="268">
        <f t="shared" si="80"/>
        <v>0</v>
      </c>
      <c r="U82" s="268"/>
      <c r="W82" s="254" t="s">
        <v>866</v>
      </c>
      <c r="X82" s="246">
        <v>2015</v>
      </c>
      <c r="Y82" s="433">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5">
        <f>_xlfn.IFNA(INDEX('Data manipulation'!$C$23:$O$39,MATCH($V82,'Data manipulation'!$B$23:$B$39,0),MATCH($X82,'Data manipulation'!$C$22:$O$22,0))/1000,0)*SUMIFS('Regional split'!$F$4:$F$6,'Regional split'!$B$4:$B$6,AA$3)*SUMIFS('Data manipulation'!$V$39:$V$42,'Data manipulation'!$X$39:$X$42,$E82,'Data manipulation'!$Y$39:$Y$42,$D82)</f>
        <v>0</v>
      </c>
      <c r="AB82" s="444">
        <f t="shared" si="63"/>
        <v>0</v>
      </c>
      <c r="AC82" s="251">
        <f t="shared" si="64"/>
        <v>0</v>
      </c>
      <c r="AD82" s="445">
        <f t="shared" si="65"/>
        <v>0</v>
      </c>
      <c r="AU82" s="260"/>
      <c r="AZ82" s="252"/>
    </row>
    <row r="83" spans="2:52" ht="15" customHeight="1">
      <c r="B83" s="233" t="str">
        <f>B42</f>
        <v>CHTRMFIWE1</v>
      </c>
      <c r="C83" s="233" t="str">
        <f>C42</f>
        <v>Residential Heating Technology Rural Multi - Fire wood - Existing 1</v>
      </c>
      <c r="D83" s="233" t="str">
        <f t="shared" ref="D83:E83" si="101">D42</f>
        <v>Rural</v>
      </c>
      <c r="E83" s="233" t="str">
        <f t="shared" si="101"/>
        <v>Multi storey</v>
      </c>
      <c r="F83" s="233" t="str">
        <f t="shared" ref="F83:G83" si="102">F42</f>
        <v>COMFIW</v>
      </c>
      <c r="G83" s="233" t="str">
        <f t="shared" si="102"/>
        <v>COMHRMB</v>
      </c>
      <c r="H83" s="259">
        <v>2015</v>
      </c>
      <c r="I83" s="250">
        <f t="shared" si="96"/>
        <v>141</v>
      </c>
      <c r="J83" s="250">
        <f t="shared" si="97"/>
        <v>0</v>
      </c>
      <c r="K83" s="250">
        <f t="shared" si="98"/>
        <v>0</v>
      </c>
      <c r="L83" s="463">
        <v>0.67</v>
      </c>
      <c r="M83" s="463">
        <v>0.67</v>
      </c>
      <c r="N83" s="463">
        <v>0.67</v>
      </c>
      <c r="O83" s="244">
        <f>31.536/1000</f>
        <v>3.1536000000000002E-2</v>
      </c>
      <c r="P83" s="459">
        <v>0.15</v>
      </c>
      <c r="Q83" s="245">
        <v>20</v>
      </c>
      <c r="R83" s="227">
        <v>1.0900000000000001</v>
      </c>
      <c r="T83" s="268">
        <f t="shared" si="80"/>
        <v>0.99550208955223873</v>
      </c>
      <c r="U83" s="268"/>
      <c r="V83" s="592" t="str">
        <f>'Data manipulation'!$B$31</f>
        <v>Primary solid biofuels</v>
      </c>
      <c r="W83" s="254" t="s">
        <v>177</v>
      </c>
      <c r="X83" s="246">
        <v>2015</v>
      </c>
      <c r="Y83" s="433">
        <f>_xlfn.IFNA(INDEX('Data manipulation'!$C$23:$O$39,MATCH($V83,'Data manipulation'!$B$23:$B$39,0),MATCH($X83,'Data manipulation'!$C$22:$O$22,0))/1000,0)*SUMIFS('Regional split'!$F$4:$F$6,'Regional split'!$B$4:$B$6,Y$3)*SUMIFS('Data manipulation'!$V$39:$V$42,'Data manipulation'!$X$39:$X$42,$E83,'Data manipulation'!$Y$39:$Y$42,$D83)</f>
        <v>0.9127375487446906</v>
      </c>
      <c r="Z83" s="270">
        <f>_xlfn.IFNA(INDEX('Data manipulation'!$C$23:$O$39,MATCH($V83,'Data manipulation'!$B$23:$B$39,0),MATCH($X83,'Data manipulation'!$C$22:$O$22,0))/1000,0)*SUMIFS('Regional split'!$F$4:$F$6,'Regional split'!$B$4:$B$6,Z$3)*SUMIFS('Data manipulation'!$V$39:$V$42,'Data manipulation'!$X$39:$X$42,$E83,'Data manipulation'!$Y$39:$Y$42,$D83)</f>
        <v>0</v>
      </c>
      <c r="AA83" s="455">
        <f>_xlfn.IFNA(INDEX('Data manipulation'!$C$23:$O$39,MATCH($V83,'Data manipulation'!$B$23:$B$39,0),MATCH($X83,'Data manipulation'!$C$22:$O$22,0))/1000,0)*SUMIFS('Regional split'!$F$4:$F$6,'Regional split'!$B$4:$B$6,AA$3)*SUMIFS('Data manipulation'!$V$39:$V$42,'Data manipulation'!$X$39:$X$42,$E83,'Data manipulation'!$Y$39:$Y$42,$D83)</f>
        <v>0</v>
      </c>
      <c r="AB83" s="444">
        <f t="shared" si="63"/>
        <v>0.6115341576589427</v>
      </c>
      <c r="AC83" s="251">
        <f t="shared" si="64"/>
        <v>0</v>
      </c>
      <c r="AD83" s="445">
        <f t="shared" si="65"/>
        <v>0</v>
      </c>
      <c r="AU83" s="260"/>
      <c r="AZ83" s="252"/>
    </row>
    <row r="84" spans="2:52" ht="15" customHeight="1">
      <c r="B84" s="233" t="str">
        <f>B43</f>
        <v>CHTRMCOAE1</v>
      </c>
      <c r="C84" s="233" t="str">
        <f>C43</f>
        <v>Residential Heating Technology Rural Multi - Coal - Existing 1</v>
      </c>
      <c r="D84" s="233" t="str">
        <f t="shared" ref="D84:E84" si="103">D43</f>
        <v>Rural</v>
      </c>
      <c r="E84" s="233" t="str">
        <f t="shared" si="103"/>
        <v>Multi storey</v>
      </c>
      <c r="F84" s="233" t="str">
        <f t="shared" ref="F84:G84" si="104">F43</f>
        <v>COMCOA</v>
      </c>
      <c r="G84" s="233" t="str">
        <f t="shared" si="104"/>
        <v>COMHRMB</v>
      </c>
      <c r="H84" s="259">
        <v>2015</v>
      </c>
      <c r="I84" s="250">
        <f t="shared" si="96"/>
        <v>24.3</v>
      </c>
      <c r="J84" s="250">
        <f t="shared" si="97"/>
        <v>0</v>
      </c>
      <c r="K84" s="250">
        <f t="shared" si="98"/>
        <v>0</v>
      </c>
      <c r="L84" s="463">
        <v>0.72</v>
      </c>
      <c r="M84" s="463">
        <v>0.72</v>
      </c>
      <c r="N84" s="463">
        <v>0.72</v>
      </c>
      <c r="O84" s="244">
        <f t="shared" si="73"/>
        <v>3.1536000000000002E-2</v>
      </c>
      <c r="P84" s="459">
        <v>0.15</v>
      </c>
      <c r="Q84" s="245">
        <v>20</v>
      </c>
      <c r="R84" s="227">
        <v>1.0900000000000001</v>
      </c>
      <c r="T84" s="268">
        <f t="shared" si="80"/>
        <v>0.15965100000000002</v>
      </c>
      <c r="U84" s="268"/>
      <c r="V84" s="592" t="str">
        <f>'Data manipulation'!$B$23</f>
        <v>Solid fossil fuels, peat, peat products, oil shale and oil sands</v>
      </c>
      <c r="W84" s="254" t="s">
        <v>863</v>
      </c>
      <c r="X84" s="246">
        <v>2015</v>
      </c>
      <c r="Y84" s="433">
        <f>_xlfn.IFNA(INDEX('Data manipulation'!$C$23:$O$39,MATCH($V84,'Data manipulation'!$B$23:$B$39,0),MATCH($X84,'Data manipulation'!$C$22:$O$22,0))/1000,0)*SUMIFS('Regional split'!$F$4:$F$6,'Regional split'!$B$4:$B$6,Y$3)*SUMIFS('Data manipulation'!$V$39:$V$42,'Data manipulation'!$X$39:$X$42,$E84,'Data manipulation'!$Y$39:$Y$42,$D84)</f>
        <v>0.14633457999999999</v>
      </c>
      <c r="Z84" s="270">
        <f>_xlfn.IFNA(INDEX('Data manipulation'!$C$23:$O$39,MATCH($V84,'Data manipulation'!$B$23:$B$39,0),MATCH($X84,'Data manipulation'!$C$22:$O$22,0))/1000,0)*SUMIFS('Regional split'!$F$4:$F$6,'Regional split'!$B$4:$B$6,Z$3)*SUMIFS('Data manipulation'!$V$39:$V$42,'Data manipulation'!$X$39:$X$42,$E84,'Data manipulation'!$Y$39:$Y$42,$D84)</f>
        <v>0</v>
      </c>
      <c r="AA84" s="455">
        <f>_xlfn.IFNA(INDEX('Data manipulation'!$C$23:$O$39,MATCH($V84,'Data manipulation'!$B$23:$B$39,0),MATCH($X84,'Data manipulation'!$C$22:$O$22,0))/1000,0)*SUMIFS('Regional split'!$F$4:$F$6,'Regional split'!$B$4:$B$6,AA$3)*SUMIFS('Data manipulation'!$V$39:$V$42,'Data manipulation'!$X$39:$X$42,$E84,'Data manipulation'!$Y$39:$Y$42,$D84)</f>
        <v>0</v>
      </c>
      <c r="AB84" s="444">
        <f t="shared" si="63"/>
        <v>0.10536089759999999</v>
      </c>
      <c r="AC84" s="251">
        <f t="shared" si="64"/>
        <v>0</v>
      </c>
      <c r="AD84" s="445">
        <f t="shared" si="65"/>
        <v>0</v>
      </c>
      <c r="AU84" s="260"/>
      <c r="AZ84" s="252"/>
    </row>
    <row r="85" spans="2:52" ht="15" customHeight="1">
      <c r="B85" s="233" t="str">
        <f>B44</f>
        <v>CHTRMSOLE1</v>
      </c>
      <c r="C85" s="233" t="str">
        <f>C44</f>
        <v>Residential Heating Technology Rural Multi - Solar - Existing 1</v>
      </c>
      <c r="D85" s="233" t="str">
        <f t="shared" ref="D85:E85" si="105">D44</f>
        <v>Rural</v>
      </c>
      <c r="E85" s="233" t="str">
        <f t="shared" si="105"/>
        <v>Multi storey</v>
      </c>
      <c r="F85" s="233" t="str">
        <f t="shared" ref="F85:G85" si="106">F44</f>
        <v>COMSOL</v>
      </c>
      <c r="G85" s="233" t="str">
        <f t="shared" si="106"/>
        <v>COMHRMB</v>
      </c>
      <c r="H85" s="259">
        <v>2015</v>
      </c>
      <c r="I85" s="250">
        <f t="shared" si="96"/>
        <v>0.7</v>
      </c>
      <c r="J85" s="250">
        <f t="shared" si="97"/>
        <v>0</v>
      </c>
      <c r="K85" s="250">
        <f t="shared" si="98"/>
        <v>0</v>
      </c>
      <c r="L85" s="463">
        <v>1</v>
      </c>
      <c r="M85" s="463">
        <v>1</v>
      </c>
      <c r="N85" s="463">
        <v>1</v>
      </c>
      <c r="O85" s="244">
        <f t="shared" si="73"/>
        <v>3.1536000000000002E-2</v>
      </c>
      <c r="P85" s="459">
        <v>0.15</v>
      </c>
      <c r="Q85" s="245">
        <v>20</v>
      </c>
      <c r="R85" s="227">
        <v>1.0900000000000001</v>
      </c>
      <c r="T85" s="268">
        <f t="shared" si="80"/>
        <v>3.3112799999999998E-3</v>
      </c>
      <c r="U85" s="268"/>
      <c r="V85" s="592" t="str">
        <f>'Data manipulation'!$B$29</f>
        <v>Solar thermal</v>
      </c>
      <c r="W85" s="254" t="s">
        <v>169</v>
      </c>
      <c r="X85" s="246">
        <v>2015</v>
      </c>
      <c r="Y85" s="433">
        <f>_xlfn.IFNA(INDEX('Data manipulation'!$C$23:$O$39,MATCH($V85,'Data manipulation'!$B$23:$B$39,0),MATCH($X85,'Data manipulation'!$C$22:$O$22,0))/1000,0)*SUMIFS('Regional split'!$F$4:$F$6,'Regional split'!$B$4:$B$6,Y$3)*SUMIFS('Data manipulation'!$V$39:$V$42,'Data manipulation'!$X$39:$X$42,$E85,'Data manipulation'!$Y$39:$Y$42,$D85)</f>
        <v>3.0141790000000005E-3</v>
      </c>
      <c r="Z85" s="270">
        <f>_xlfn.IFNA(INDEX('Data manipulation'!$C$23:$O$39,MATCH($V85,'Data manipulation'!$B$23:$B$39,0),MATCH($X85,'Data manipulation'!$C$22:$O$22,0))/1000,0)*SUMIFS('Regional split'!$F$4:$F$6,'Regional split'!$B$4:$B$6,Z$3)*SUMIFS('Data manipulation'!$V$39:$V$42,'Data manipulation'!$X$39:$X$42,$E85,'Data manipulation'!$Y$39:$Y$42,$D85)</f>
        <v>0</v>
      </c>
      <c r="AA85" s="455">
        <f>_xlfn.IFNA(INDEX('Data manipulation'!$C$23:$O$39,MATCH($V85,'Data manipulation'!$B$23:$B$39,0),MATCH($X85,'Data manipulation'!$C$22:$O$22,0))/1000,0)*SUMIFS('Regional split'!$F$4:$F$6,'Regional split'!$B$4:$B$6,AA$3)*SUMIFS('Data manipulation'!$V$39:$V$42,'Data manipulation'!$X$39:$X$42,$E85,'Data manipulation'!$Y$39:$Y$42,$D85)</f>
        <v>0</v>
      </c>
      <c r="AB85" s="444">
        <f t="shared" si="63"/>
        <v>3.0141790000000005E-3</v>
      </c>
      <c r="AC85" s="251">
        <f t="shared" si="64"/>
        <v>0</v>
      </c>
      <c r="AD85" s="445">
        <f t="shared" si="65"/>
        <v>0</v>
      </c>
      <c r="AU85" s="260"/>
      <c r="AZ85" s="252"/>
    </row>
    <row r="86" spans="2:52" ht="15" customHeight="1">
      <c r="B86" s="233" t="str">
        <f t="shared" ref="B86:C89" si="107">B46</f>
        <v>CHTRMELCHE1</v>
      </c>
      <c r="C86" s="233" t="str">
        <f t="shared" si="107"/>
        <v>Residential Heating Technology Rural Multi - Electricity Heating - Existing 1</v>
      </c>
      <c r="D86" s="233" t="str">
        <f t="shared" ref="D86:E86" si="108">D46</f>
        <v>Rural</v>
      </c>
      <c r="E86" s="233" t="str">
        <f t="shared" si="108"/>
        <v>Multi storey</v>
      </c>
      <c r="F86" s="233" t="str">
        <f t="shared" ref="F86:G86" si="109">F46</f>
        <v>COMELCH</v>
      </c>
      <c r="G86" s="233" t="str">
        <f t="shared" si="109"/>
        <v>COMHRMB</v>
      </c>
      <c r="H86" s="259">
        <v>2015</v>
      </c>
      <c r="I86" s="250">
        <f t="shared" si="96"/>
        <v>130.79999999999998</v>
      </c>
      <c r="J86" s="250">
        <f t="shared" si="97"/>
        <v>0</v>
      </c>
      <c r="K86" s="250">
        <f t="shared" si="98"/>
        <v>0</v>
      </c>
      <c r="L86" s="463">
        <v>1</v>
      </c>
      <c r="M86" s="463">
        <v>1</v>
      </c>
      <c r="N86" s="463">
        <v>1</v>
      </c>
      <c r="O86" s="244">
        <f t="shared" si="73"/>
        <v>3.1536000000000002E-2</v>
      </c>
      <c r="P86" s="459">
        <v>0.15</v>
      </c>
      <c r="Q86" s="245">
        <v>30</v>
      </c>
      <c r="R86" s="227">
        <v>1.0900000000000001</v>
      </c>
      <c r="T86" s="268">
        <f t="shared" si="80"/>
        <v>0.61873632000000001</v>
      </c>
      <c r="U86" s="268"/>
      <c r="V86" s="592" t="str">
        <f>'Data manipulation'!$B$33</f>
        <v>Electricity</v>
      </c>
      <c r="W86" s="254" t="s">
        <v>170</v>
      </c>
      <c r="X86" s="246">
        <v>2015</v>
      </c>
      <c r="Y86" s="433">
        <f>_xlfn.IFNA(INDEX('Data manipulation'!$C$23:$O$39,MATCH($V86,'Data manipulation'!$B$23:$B$39,0),MATCH($X86,'Data manipulation'!$C$22:$O$22,0))/1000,0)*SUMIFS('Regional split'!$F$4:$F$6,'Regional split'!$B$4:$B$6,Y$3)*SUMIFS('Data manipulation'!$V$39:$V$42,'Data manipulation'!$X$39:$X$42,$E86,'Data manipulation'!$Y$39:$Y$42,$D86)</f>
        <v>0.56763628165336788</v>
      </c>
      <c r="Z86" s="270">
        <f>_xlfn.IFNA(INDEX('Data manipulation'!$C$23:$O$39,MATCH($V86,'Data manipulation'!$B$23:$B$39,0),MATCH($X86,'Data manipulation'!$C$22:$O$22,0))/1000,0)*SUMIFS('Regional split'!$F$4:$F$6,'Regional split'!$B$4:$B$6,Z$3)*SUMIFS('Data manipulation'!$V$39:$V$42,'Data manipulation'!$X$39:$X$42,$E86,'Data manipulation'!$Y$39:$Y$42,$D86)</f>
        <v>0</v>
      </c>
      <c r="AA86" s="455">
        <f>_xlfn.IFNA(INDEX('Data manipulation'!$C$23:$O$39,MATCH($V86,'Data manipulation'!$B$23:$B$39,0),MATCH($X86,'Data manipulation'!$C$22:$O$22,0))/1000,0)*SUMIFS('Regional split'!$F$4:$F$6,'Regional split'!$B$4:$B$6,AA$3)*SUMIFS('Data manipulation'!$V$39:$V$42,'Data manipulation'!$X$39:$X$42,$E86,'Data manipulation'!$Y$39:$Y$42,$D86)</f>
        <v>0</v>
      </c>
      <c r="AB86" s="444">
        <f t="shared" si="63"/>
        <v>0.56763628165336788</v>
      </c>
      <c r="AC86" s="251">
        <f t="shared" si="64"/>
        <v>0</v>
      </c>
      <c r="AD86" s="445">
        <f t="shared" si="65"/>
        <v>0</v>
      </c>
      <c r="AU86" s="260"/>
      <c r="AZ86" s="252"/>
    </row>
    <row r="87" spans="2:52" ht="15" customHeight="1">
      <c r="B87" s="233" t="str">
        <f t="shared" si="107"/>
        <v>CHTRMELCHE2</v>
      </c>
      <c r="C87" s="233" t="str">
        <f t="shared" si="107"/>
        <v>Residential Heating Technology Rural Multi - Electricity Heating - Existing 2</v>
      </c>
      <c r="D87" s="233" t="str">
        <f t="shared" ref="D87:E87" si="110">D47</f>
        <v>Rural</v>
      </c>
      <c r="E87" s="233" t="str">
        <f t="shared" si="110"/>
        <v>Multi storey</v>
      </c>
      <c r="F87" s="233" t="str">
        <f t="shared" ref="F87:G87" si="111">F47</f>
        <v>COMELCH</v>
      </c>
      <c r="G87" s="233" t="str">
        <f t="shared" si="111"/>
        <v>COMHRMB</v>
      </c>
      <c r="H87" s="259">
        <v>2015</v>
      </c>
      <c r="I87" s="250">
        <f t="shared" si="96"/>
        <v>22.700000000000003</v>
      </c>
      <c r="J87" s="250">
        <f t="shared" si="97"/>
        <v>0</v>
      </c>
      <c r="K87" s="250">
        <f t="shared" si="98"/>
        <v>0</v>
      </c>
      <c r="L87" s="463">
        <v>2.3149999999999999</v>
      </c>
      <c r="M87" s="463">
        <v>2.3149999999999999</v>
      </c>
      <c r="N87" s="463">
        <v>2.3149999999999999</v>
      </c>
      <c r="O87" s="244">
        <f t="shared" si="73"/>
        <v>3.1536000000000002E-2</v>
      </c>
      <c r="P87" s="459">
        <v>0.15</v>
      </c>
      <c r="Q87" s="245">
        <v>30</v>
      </c>
      <c r="R87" s="227">
        <v>1.0900000000000001</v>
      </c>
      <c r="T87" s="268">
        <f t="shared" si="80"/>
        <v>4.6384483801295902E-2</v>
      </c>
      <c r="U87" s="268"/>
      <c r="V87" s="592" t="str">
        <f>'Data manipulation'!$B$30</f>
        <v>Ambient heat (heat pumps)</v>
      </c>
      <c r="W87" s="254" t="s">
        <v>171</v>
      </c>
      <c r="X87" s="246">
        <v>2015</v>
      </c>
      <c r="Y87" s="433">
        <f>_xlfn.IFNA(INDEX('Data manipulation'!$C$23:$O$39,MATCH($V87,'Data manipulation'!$B$23:$B$39,0),MATCH($X87,'Data manipulation'!$C$22:$O$22,0))/1000,0)*SUMIFS('Regional split'!$F$4:$F$6,'Regional split'!$B$4:$B$6,Y$3)*SUMIFS('Data manipulation'!$V$39:$V$42,'Data manipulation'!$X$39:$X$42,$E87,'Data manipulation'!$Y$39:$Y$42,$D87)</f>
        <v>4.246424E-2</v>
      </c>
      <c r="Z87" s="270">
        <f>_xlfn.IFNA(INDEX('Data manipulation'!$C$23:$O$39,MATCH($V87,'Data manipulation'!$B$23:$B$39,0),MATCH($X87,'Data manipulation'!$C$22:$O$22,0))/1000,0)*SUMIFS('Regional split'!$F$4:$F$6,'Regional split'!$B$4:$B$6,Z$3)*SUMIFS('Data manipulation'!$V$39:$V$42,'Data manipulation'!$X$39:$X$42,$E87,'Data manipulation'!$Y$39:$Y$42,$D87)</f>
        <v>0</v>
      </c>
      <c r="AA87" s="455">
        <f>_xlfn.IFNA(INDEX('Data manipulation'!$C$23:$O$39,MATCH($V87,'Data manipulation'!$B$23:$B$39,0),MATCH($X87,'Data manipulation'!$C$22:$O$22,0))/1000,0)*SUMIFS('Regional split'!$F$4:$F$6,'Regional split'!$B$4:$B$6,AA$3)*SUMIFS('Data manipulation'!$V$39:$V$42,'Data manipulation'!$X$39:$X$42,$E87,'Data manipulation'!$Y$39:$Y$42,$D87)</f>
        <v>0</v>
      </c>
      <c r="AB87" s="444">
        <f t="shared" si="63"/>
        <v>9.8304715599999995E-2</v>
      </c>
      <c r="AC87" s="251">
        <f t="shared" si="64"/>
        <v>0</v>
      </c>
      <c r="AD87" s="445">
        <f t="shared" si="65"/>
        <v>0</v>
      </c>
      <c r="AU87" s="260"/>
      <c r="AZ87" s="252"/>
    </row>
    <row r="88" spans="2:52" ht="15" customHeight="1">
      <c r="B88" s="233" t="str">
        <f t="shared" si="107"/>
        <v>CHTRMHCEE1</v>
      </c>
      <c r="C88" s="233" t="str">
        <f t="shared" si="107"/>
        <v>Residential Heating Technology Rural Multi - District heating Central - Existing 1</v>
      </c>
      <c r="D88" s="233" t="str">
        <f t="shared" ref="D88:E88" si="112">D48</f>
        <v>Rural</v>
      </c>
      <c r="E88" s="233" t="str">
        <f t="shared" si="112"/>
        <v>Multi storey</v>
      </c>
      <c r="F88" s="233" t="str">
        <f t="shared" ref="F88:G88" si="113">F48</f>
        <v>COMHDE</v>
      </c>
      <c r="G88" s="233" t="str">
        <f t="shared" si="113"/>
        <v>COMHRMX</v>
      </c>
      <c r="H88" s="261">
        <v>2015</v>
      </c>
      <c r="I88" s="568">
        <v>0</v>
      </c>
      <c r="J88" s="568">
        <v>0</v>
      </c>
      <c r="K88" s="568">
        <v>0</v>
      </c>
      <c r="L88" s="463">
        <v>0.98</v>
      </c>
      <c r="M88" s="463">
        <v>0.98</v>
      </c>
      <c r="N88" s="463">
        <v>0.98</v>
      </c>
      <c r="O88" s="244">
        <f t="shared" si="73"/>
        <v>3.1536000000000002E-2</v>
      </c>
      <c r="P88" s="459">
        <v>0.15</v>
      </c>
      <c r="Q88" s="245">
        <v>30</v>
      </c>
      <c r="R88" s="227">
        <v>1.0900000000000001</v>
      </c>
      <c r="T88" s="268">
        <f t="shared" si="80"/>
        <v>0</v>
      </c>
      <c r="U88" s="268"/>
      <c r="V88" s="592" t="str">
        <f>'Data manipulation'!$B$34</f>
        <v>Heat</v>
      </c>
      <c r="W88" s="254" t="s">
        <v>172</v>
      </c>
      <c r="X88" s="246">
        <v>2015</v>
      </c>
      <c r="Y88" s="433">
        <f>_xlfn.IFNA(INDEX('Data manipulation'!$C$23:$O$39,MATCH($V88,'Data manipulation'!$B$23:$B$39,0),MATCH($X88,'Data manipulation'!$C$22:$O$22,0))/1000,0)*SUMIFS('Regional split'!$F$4:$F$6,'Regional split'!$B$4:$B$6,Y$3)*SUMIFS('Data manipulation'!$V$39:$V$42,'Data manipulation'!$X$39:$X$42,$E88,'Data manipulation'!$Y$39:$Y$42,$D88)</f>
        <v>0.9999794221423095</v>
      </c>
      <c r="Z88" s="270">
        <f>_xlfn.IFNA(INDEX('Data manipulation'!$C$23:$O$39,MATCH($V88,'Data manipulation'!$B$23:$B$39,0),MATCH($X88,'Data manipulation'!$C$22:$O$22,0))/1000,0)*SUMIFS('Regional split'!$F$4:$F$6,'Regional split'!$B$4:$B$6,Z$3)*SUMIFS('Data manipulation'!$V$39:$V$42,'Data manipulation'!$X$39:$X$42,$E88,'Data manipulation'!$Y$39:$Y$42,$D88)</f>
        <v>0</v>
      </c>
      <c r="AA88" s="455">
        <f>_xlfn.IFNA(INDEX('Data manipulation'!$C$23:$O$39,MATCH($V88,'Data manipulation'!$B$23:$B$39,0),MATCH($X88,'Data manipulation'!$C$22:$O$22,0))/1000,0)*SUMIFS('Regional split'!$F$4:$F$6,'Regional split'!$B$4:$B$6,AA$3)*SUMIFS('Data manipulation'!$V$39:$V$42,'Data manipulation'!$X$39:$X$42,$E88,'Data manipulation'!$Y$39:$Y$42,$D88)</f>
        <v>0</v>
      </c>
      <c r="AB88" s="444">
        <f t="shared" si="63"/>
        <v>0.97997983369946329</v>
      </c>
      <c r="AC88" s="251">
        <f t="shared" si="64"/>
        <v>0</v>
      </c>
      <c r="AD88" s="445">
        <f t="shared" si="65"/>
        <v>0</v>
      </c>
      <c r="AU88" s="260"/>
      <c r="AZ88" s="252"/>
    </row>
    <row r="89" spans="2:52" ht="15" customHeight="1" thickBot="1">
      <c r="B89" s="233" t="str">
        <f t="shared" si="107"/>
        <v>CHTRMLPGE1</v>
      </c>
      <c r="C89" s="233" t="str">
        <f t="shared" si="107"/>
        <v>Residential Heating Technology Rural Multi - LPG - Existing 1</v>
      </c>
      <c r="D89" s="233" t="str">
        <f t="shared" ref="D89:E89" si="114">D49</f>
        <v>Rural</v>
      </c>
      <c r="E89" s="233" t="str">
        <f t="shared" si="114"/>
        <v>Multi storey</v>
      </c>
      <c r="F89" s="233" t="str">
        <f t="shared" ref="F89:G89" si="115">F49</f>
        <v>COMLPG</v>
      </c>
      <c r="G89" s="233" t="str">
        <f t="shared" si="115"/>
        <v>COMHRMB</v>
      </c>
      <c r="H89" s="261">
        <v>2015</v>
      </c>
      <c r="I89" s="297">
        <f t="shared" ref="I89" si="116">ROUNDUP(AB89/($O89*$P89)*$R89,1)</f>
        <v>51.2</v>
      </c>
      <c r="J89" s="297">
        <f t="shared" ref="J89" si="117">ROUNDUP(AC89/($O89*$P89)*$R89,1)</f>
        <v>0</v>
      </c>
      <c r="K89" s="297">
        <f t="shared" ref="K89" si="118">ROUNDUP(AD89/($O89*$P89)*$R89,1)</f>
        <v>0</v>
      </c>
      <c r="L89" s="463">
        <v>0.98</v>
      </c>
      <c r="M89" s="463">
        <v>0.98</v>
      </c>
      <c r="N89" s="463">
        <v>0.98</v>
      </c>
      <c r="O89" s="244">
        <f t="shared" si="73"/>
        <v>3.1536000000000002E-2</v>
      </c>
      <c r="P89" s="459">
        <v>0.15</v>
      </c>
      <c r="Q89" s="245">
        <v>30</v>
      </c>
      <c r="R89" s="227">
        <v>1.0900000000000001</v>
      </c>
      <c r="T89" s="268">
        <f t="shared" si="80"/>
        <v>0.24713926530612249</v>
      </c>
      <c r="U89" s="268"/>
      <c r="V89" s="593" t="str">
        <f>'Data manipulation'!$B$25</f>
        <v>Liquefied natural gas</v>
      </c>
      <c r="W89" s="428" t="s">
        <v>771</v>
      </c>
      <c r="X89" s="246">
        <v>2015</v>
      </c>
      <c r="Y89" s="434">
        <f>_xlfn.IFNA(INDEX('Data manipulation'!$C$23:$O$39,MATCH($V89,'Data manipulation'!$B$23:$B$39,0),MATCH($X89,'Data manipulation'!$C$22:$O$22,0))/1000,0)*SUMIFS('Regional split'!$F$4:$F$6,'Regional split'!$B$4:$B$6,Y$3)*SUMIFS('Data manipulation'!$V$39:$V$42,'Data manipulation'!$X$39:$X$42,$E89,'Data manipulation'!$Y$39:$Y$42,$D89)</f>
        <v>0.22638003316404706</v>
      </c>
      <c r="Z89" s="431">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6">
        <f t="shared" si="63"/>
        <v>0.22185243250076611</v>
      </c>
      <c r="AC89" s="432">
        <f t="shared" si="64"/>
        <v>0</v>
      </c>
      <c r="AD89" s="453">
        <f t="shared" si="65"/>
        <v>0</v>
      </c>
      <c r="AU89" s="260"/>
      <c r="AZ89" s="252"/>
    </row>
    <row r="90" spans="2:52" ht="15" customHeight="1">
      <c r="B90" s="227" t="str">
        <f>B50</f>
        <v>CHTUDNGAE1</v>
      </c>
      <c r="C90" s="227" t="str">
        <f t="shared" ref="C90:G90" si="119">C50</f>
        <v>Residential Heating Technology Urban Detached - Natural Gas - Existing 1</v>
      </c>
      <c r="D90" s="227" t="str">
        <f t="shared" si="119"/>
        <v>Urban</v>
      </c>
      <c r="E90" s="227" t="str">
        <f t="shared" si="119"/>
        <v>Detached</v>
      </c>
      <c r="F90" s="227" t="str">
        <f t="shared" si="119"/>
        <v>COMNGA,COMSNG,COMBGA</v>
      </c>
      <c r="G90" s="227" t="str">
        <f t="shared" si="119"/>
        <v>COMHUDB</v>
      </c>
      <c r="H90" s="230">
        <v>2018</v>
      </c>
      <c r="I90" s="250">
        <f>ROUNDUP(AB90/($O90*$P90)*$R90,1)</f>
        <v>15774.800000000001</v>
      </c>
      <c r="J90" s="250">
        <f>ROUNDUP(AC90/($O90*$P90)*$R90,1)</f>
        <v>0</v>
      </c>
      <c r="K90" s="250">
        <f>ROUNDUP(AD90/($O90*$P90)*$R90,1)</f>
        <v>0</v>
      </c>
      <c r="L90" s="463">
        <v>0.72</v>
      </c>
      <c r="M90" s="463">
        <v>0.72</v>
      </c>
      <c r="N90" s="463">
        <v>0.72</v>
      </c>
      <c r="O90" s="244">
        <f>31.536/1000</f>
        <v>3.1536000000000002E-2</v>
      </c>
      <c r="P90" s="459">
        <v>0.15</v>
      </c>
      <c r="Q90" s="245">
        <v>22</v>
      </c>
      <c r="R90" s="227">
        <v>1.05</v>
      </c>
      <c r="T90" s="268">
        <f t="shared" si="80"/>
        <v>103.64043600000001</v>
      </c>
      <c r="U90" s="268"/>
      <c r="V90" s="592" t="str">
        <f>'Data manipulation'!$B$36</f>
        <v>Natural gas and biogas</v>
      </c>
      <c r="W90" s="246" t="s">
        <v>168</v>
      </c>
      <c r="X90" s="246">
        <v>2018</v>
      </c>
      <c r="Y90" s="433">
        <f>_xlfn.IFNA(INDEX('Data manipulation'!$C$23:$O$39,MATCH($V90,'Data manipulation'!$B$23:$B$39,0),MATCH($X90,'Data manipulation'!$C$22:$O$22,0))/1000,0)*SUMIFS('Regional split'!$F$4:$F$6,'Regional split'!$B$4:$B$6,Y$3)*SUMIFS('Data manipulation'!$V$39:$V$42,'Data manipulation'!$X$39:$X$42,$E90,'Data manipulation'!$Y$39:$Y$42,$D90)</f>
        <v>98.704942468241171</v>
      </c>
      <c r="Z90" s="270">
        <f>_xlfn.IFNA(INDEX('Data manipulation'!$C$23:$O$39,MATCH($V90,'Data manipulation'!$B$23:$B$39,0),MATCH($X90,'Data manipulation'!$C$22:$O$22,0))/1000,0)*SUMIFS('Regional split'!$F$4:$F$6,'Regional split'!$B$4:$B$6,Z$3)*SUMIFS('Data manipulation'!$V$39:$V$42,'Data manipulation'!$X$39:$X$42,$E90,'Data manipulation'!$Y$39:$Y$42,$D90)</f>
        <v>0</v>
      </c>
      <c r="AA90" s="455">
        <f>_xlfn.IFNA(INDEX('Data manipulation'!$C$23:$O$39,MATCH($V90,'Data manipulation'!$B$23:$B$39,0),MATCH($X90,'Data manipulation'!$C$22:$O$22,0))/1000,0)*SUMIFS('Regional split'!$F$4:$F$6,'Regional split'!$B$4:$B$6,AA$3)*SUMIFS('Data manipulation'!$V$39:$V$42,'Data manipulation'!$X$39:$X$42,$E90,'Data manipulation'!$Y$39:$Y$42,$D90)</f>
        <v>0</v>
      </c>
      <c r="AB90" s="444">
        <f t="shared" si="63"/>
        <v>71.067558577133639</v>
      </c>
      <c r="AC90" s="251">
        <f t="shared" si="64"/>
        <v>0</v>
      </c>
      <c r="AD90" s="445">
        <f t="shared" si="65"/>
        <v>0</v>
      </c>
      <c r="AE90" s="262"/>
      <c r="AU90" s="260"/>
      <c r="AZ90" s="252"/>
    </row>
    <row r="91" spans="2:52" ht="15" customHeight="1">
      <c r="B91" s="227" t="str">
        <f t="shared" ref="B91:G91" si="120">B51</f>
        <v>CHTUDDSLE1</v>
      </c>
      <c r="C91" s="227" t="str">
        <f t="shared" si="120"/>
        <v>Residential Heating Technology Urban Detached - Diesel - Existing 1</v>
      </c>
      <c r="D91" s="227" t="str">
        <f t="shared" si="120"/>
        <v>Urban</v>
      </c>
      <c r="E91" s="227" t="str">
        <f t="shared" si="120"/>
        <v>Detached</v>
      </c>
      <c r="F91" s="227" t="str">
        <f t="shared" si="120"/>
        <v>COMDSL,COMDSB</v>
      </c>
      <c r="G91" s="227" t="str">
        <f t="shared" si="120"/>
        <v>COMHUDB</v>
      </c>
      <c r="H91" s="230">
        <v>2018</v>
      </c>
      <c r="I91" s="250">
        <f t="shared" ref="I91:I98" si="121">ROUNDUP(AB91/($O91*$P91)*$R91,1)</f>
        <v>0</v>
      </c>
      <c r="J91" s="250">
        <f t="shared" ref="J91:J97" si="122">ROUNDUP(AC91/($O91*$P91)*$R91,1)</f>
        <v>0</v>
      </c>
      <c r="K91" s="250">
        <f t="shared" ref="K91:K97" si="123">ROUNDUP(AD91/($O91*$P91)*$R91,1)</f>
        <v>0</v>
      </c>
      <c r="L91" s="463">
        <v>0.71</v>
      </c>
      <c r="M91" s="463">
        <v>0.71</v>
      </c>
      <c r="N91" s="463">
        <v>0.71</v>
      </c>
      <c r="O91" s="244">
        <f>31.536/1000</f>
        <v>3.1536000000000002E-2</v>
      </c>
      <c r="P91" s="459">
        <v>0.15</v>
      </c>
      <c r="Q91" s="245">
        <v>20</v>
      </c>
      <c r="R91" s="227">
        <v>1.05</v>
      </c>
      <c r="T91" s="268">
        <f t="shared" si="80"/>
        <v>0</v>
      </c>
      <c r="V91" s="592" t="str">
        <f>'Data manipulation'!$B$35</f>
        <v>Oil products</v>
      </c>
      <c r="W91" s="254" t="s">
        <v>729</v>
      </c>
      <c r="X91" s="246">
        <v>2018</v>
      </c>
      <c r="Y91" s="433">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5">
        <f>_xlfn.IFNA(INDEX('Data manipulation'!$C$23:$O$39,MATCH($V91,'Data manipulation'!$B$23:$B$39,0),MATCH($X91,'Data manipulation'!$C$22:$O$22,0))/1000,0)*SUMIFS('Regional split'!$F$4:$F$6,'Regional split'!$B$4:$B$6,AA$3)*SUMIFS('Data manipulation'!$V$39:$V$42,'Data manipulation'!$X$39:$X$42,$E91,'Data manipulation'!$Y$39:$Y$42,$D91)</f>
        <v>0</v>
      </c>
      <c r="AB91" s="444">
        <f t="shared" si="63"/>
        <v>0</v>
      </c>
      <c r="AC91" s="251">
        <f t="shared" si="64"/>
        <v>0</v>
      </c>
      <c r="AD91" s="445">
        <f t="shared" si="65"/>
        <v>0</v>
      </c>
      <c r="AE91" s="262"/>
      <c r="AU91" s="260"/>
      <c r="AZ91" s="252"/>
    </row>
    <row r="92" spans="2:52" ht="15" customHeight="1">
      <c r="B92" s="227" t="str">
        <f t="shared" ref="B92:G92" si="124">B52</f>
        <v>CHTUDWPEE1</v>
      </c>
      <c r="C92" s="227" t="str">
        <f t="shared" si="124"/>
        <v>Residential Heating Technology Urban Detached - Wood pellets - Existing 1</v>
      </c>
      <c r="D92" s="227" t="str">
        <f t="shared" si="124"/>
        <v>Urban</v>
      </c>
      <c r="E92" s="227" t="str">
        <f t="shared" si="124"/>
        <v>Detached</v>
      </c>
      <c r="F92" s="227" t="str">
        <f t="shared" si="124"/>
        <v>COMWPE</v>
      </c>
      <c r="G92" s="227" t="str">
        <f t="shared" si="124"/>
        <v>COMHUDB</v>
      </c>
      <c r="H92" s="230">
        <v>2018</v>
      </c>
      <c r="I92" s="250">
        <f t="shared" si="121"/>
        <v>0</v>
      </c>
      <c r="J92" s="250">
        <f t="shared" si="122"/>
        <v>0</v>
      </c>
      <c r="K92" s="250">
        <f t="shared" si="123"/>
        <v>0</v>
      </c>
      <c r="L92" s="463">
        <v>0.61</v>
      </c>
      <c r="M92" s="463">
        <v>0.61</v>
      </c>
      <c r="N92" s="463">
        <v>0.61</v>
      </c>
      <c r="O92" s="244">
        <f t="shared" ref="O92:O109" si="125">31.536/1000</f>
        <v>3.1536000000000002E-2</v>
      </c>
      <c r="P92" s="459">
        <v>0.15</v>
      </c>
      <c r="Q92" s="245">
        <v>20</v>
      </c>
      <c r="R92" s="227">
        <v>1.05</v>
      </c>
      <c r="T92" s="268">
        <f t="shared" si="80"/>
        <v>0</v>
      </c>
      <c r="U92" s="268"/>
      <c r="W92" s="254" t="s">
        <v>866</v>
      </c>
      <c r="X92" s="246">
        <v>2018</v>
      </c>
      <c r="Y92" s="433">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5">
        <f>_xlfn.IFNA(INDEX('Data manipulation'!$C$23:$O$39,MATCH($V92,'Data manipulation'!$B$23:$B$39,0),MATCH($X92,'Data manipulation'!$C$22:$O$22,0))/1000,0)*SUMIFS('Regional split'!$F$4:$F$6,'Regional split'!$B$4:$B$6,AA$3)*SUMIFS('Data manipulation'!$V$39:$V$42,'Data manipulation'!$X$39:$X$42,$E92,'Data manipulation'!$Y$39:$Y$42,$D92)</f>
        <v>0</v>
      </c>
      <c r="AB92" s="444">
        <f t="shared" si="63"/>
        <v>0</v>
      </c>
      <c r="AC92" s="251">
        <f t="shared" si="64"/>
        <v>0</v>
      </c>
      <c r="AD92" s="445">
        <f t="shared" si="65"/>
        <v>0</v>
      </c>
      <c r="AE92" s="262"/>
      <c r="AU92" s="260"/>
      <c r="AZ92" s="252"/>
    </row>
    <row r="93" spans="2:52" ht="15" customHeight="1">
      <c r="B93" s="227" t="str">
        <f t="shared" ref="B93:G93" si="126">B53</f>
        <v>CHTUDFIWE1</v>
      </c>
      <c r="C93" s="227" t="str">
        <f t="shared" si="126"/>
        <v>Residential Heating Technology Urban Detached - Fire wood - Existing 1</v>
      </c>
      <c r="D93" s="227" t="str">
        <f t="shared" si="126"/>
        <v>Urban</v>
      </c>
      <c r="E93" s="227" t="str">
        <f t="shared" si="126"/>
        <v>Detached</v>
      </c>
      <c r="F93" s="227" t="str">
        <f t="shared" si="126"/>
        <v>COMFIW</v>
      </c>
      <c r="G93" s="227" t="str">
        <f t="shared" si="126"/>
        <v>COMHUDB</v>
      </c>
      <c r="H93" s="230">
        <v>2018</v>
      </c>
      <c r="I93" s="250">
        <f t="shared" si="121"/>
        <v>2091.4</v>
      </c>
      <c r="J93" s="250">
        <f t="shared" si="122"/>
        <v>0</v>
      </c>
      <c r="K93" s="250">
        <f t="shared" si="123"/>
        <v>0</v>
      </c>
      <c r="L93" s="463">
        <v>0.65000022993955098</v>
      </c>
      <c r="M93" s="463">
        <v>0.65000022993955098</v>
      </c>
      <c r="N93" s="463">
        <v>0.65000022993955098</v>
      </c>
      <c r="O93" s="244">
        <f t="shared" si="125"/>
        <v>3.1536000000000002E-2</v>
      </c>
      <c r="P93" s="459">
        <v>0.15</v>
      </c>
      <c r="Q93" s="245">
        <v>20</v>
      </c>
      <c r="R93" s="227">
        <v>1.05</v>
      </c>
      <c r="T93" s="268">
        <f t="shared" si="80"/>
        <v>15.220238554254127</v>
      </c>
      <c r="U93" s="268"/>
      <c r="V93" s="592" t="str">
        <f>'Data manipulation'!$B$31</f>
        <v>Primary solid biofuels</v>
      </c>
      <c r="W93" s="254" t="s">
        <v>177</v>
      </c>
      <c r="X93" s="246">
        <v>2018</v>
      </c>
      <c r="Y93" s="433">
        <f>_xlfn.IFNA(INDEX('Data manipulation'!$C$23:$O$39,MATCH($V93,'Data manipulation'!$B$23:$B$39,0),MATCH($X93,'Data manipulation'!$C$22:$O$22,0))/1000,0)*SUMIFS('Regional split'!$F$4:$F$6,'Regional split'!$B$4:$B$6,Y$3)*SUMIFS('Data manipulation'!$V$39:$V$42,'Data manipulation'!$X$39:$X$42,$E93,'Data manipulation'!$Y$39:$Y$42,$D93)</f>
        <v>14.494816673475288</v>
      </c>
      <c r="Z93" s="270">
        <f>_xlfn.IFNA(INDEX('Data manipulation'!$C$23:$O$39,MATCH($V93,'Data manipulation'!$B$23:$B$39,0),MATCH($X93,'Data manipulation'!$C$22:$O$22,0))/1000,0)*SUMIFS('Regional split'!$F$4:$F$6,'Regional split'!$B$4:$B$6,Z$3)*SUMIFS('Data manipulation'!$V$39:$V$42,'Data manipulation'!$X$39:$X$42,$E93,'Data manipulation'!$Y$39:$Y$42,$D93)</f>
        <v>0</v>
      </c>
      <c r="AA93" s="455">
        <f>_xlfn.IFNA(INDEX('Data manipulation'!$C$23:$O$39,MATCH($V93,'Data manipulation'!$B$23:$B$39,0),MATCH($X93,'Data manipulation'!$C$22:$O$22,0))/1000,0)*SUMIFS('Regional split'!$F$4:$F$6,'Regional split'!$B$4:$B$6,AA$3)*SUMIFS('Data manipulation'!$V$39:$V$42,'Data manipulation'!$X$39:$X$42,$E93,'Data manipulation'!$Y$39:$Y$42,$D93)</f>
        <v>0</v>
      </c>
      <c r="AB93" s="444">
        <f t="shared" si="63"/>
        <v>9.4216341706905755</v>
      </c>
      <c r="AC93" s="251">
        <f t="shared" si="64"/>
        <v>0</v>
      </c>
      <c r="AD93" s="445">
        <f t="shared" si="65"/>
        <v>0</v>
      </c>
      <c r="AE93" s="262"/>
      <c r="AU93" s="260"/>
      <c r="AZ93" s="252"/>
    </row>
    <row r="94" spans="2:52" ht="15" customHeight="1">
      <c r="B94" s="233" t="str">
        <f t="shared" ref="B94:G94" si="127">B54</f>
        <v>CHTUDCOAE1</v>
      </c>
      <c r="C94" s="233" t="str">
        <f t="shared" si="127"/>
        <v>Residential Heating Technology Urban Detached - Coal - Existing 1</v>
      </c>
      <c r="D94" s="233" t="str">
        <f t="shared" si="127"/>
        <v>Urban</v>
      </c>
      <c r="E94" s="233" t="str">
        <f t="shared" si="127"/>
        <v>Detached</v>
      </c>
      <c r="F94" s="233" t="str">
        <f t="shared" si="127"/>
        <v>COMCOA</v>
      </c>
      <c r="G94" s="233" t="str">
        <f t="shared" si="127"/>
        <v>COMHUDB</v>
      </c>
      <c r="H94" s="230">
        <v>2018</v>
      </c>
      <c r="I94" s="250">
        <f t="shared" si="121"/>
        <v>36.6</v>
      </c>
      <c r="J94" s="250">
        <f t="shared" si="122"/>
        <v>0</v>
      </c>
      <c r="K94" s="250">
        <f t="shared" si="123"/>
        <v>0</v>
      </c>
      <c r="L94" s="463">
        <v>0.7</v>
      </c>
      <c r="M94" s="463">
        <v>0.7</v>
      </c>
      <c r="N94" s="463">
        <v>0.7</v>
      </c>
      <c r="O94" s="244">
        <f t="shared" si="125"/>
        <v>3.1536000000000002E-2</v>
      </c>
      <c r="P94" s="459">
        <v>0.15</v>
      </c>
      <c r="Q94" s="245">
        <v>20</v>
      </c>
      <c r="R94" s="227">
        <v>1.05</v>
      </c>
      <c r="T94" s="268">
        <f t="shared" si="80"/>
        <v>0.24733234285714292</v>
      </c>
      <c r="U94" s="268"/>
      <c r="V94" s="592" t="str">
        <f>'Data manipulation'!$B$23</f>
        <v>Solid fossil fuels, peat, peat products, oil shale and oil sands</v>
      </c>
      <c r="W94" s="254" t="s">
        <v>863</v>
      </c>
      <c r="X94" s="246">
        <v>2018</v>
      </c>
      <c r="Y94" s="433">
        <f>_xlfn.IFNA(INDEX('Data manipulation'!$C$23:$O$39,MATCH($V94,'Data manipulation'!$B$23:$B$39,0),MATCH($X94,'Data manipulation'!$C$22:$O$22,0))/1000,0)*SUMIFS('Regional split'!$F$4:$F$6,'Regional split'!$B$4:$B$6,Y$3)*SUMIFS('Data manipulation'!$V$39:$V$42,'Data manipulation'!$X$39:$X$42,$E94,'Data manipulation'!$Y$39:$Y$42,$D94)</f>
        <v>0.23551783900000001</v>
      </c>
      <c r="Z94" s="270">
        <f>_xlfn.IFNA(INDEX('Data manipulation'!$C$23:$O$39,MATCH($V94,'Data manipulation'!$B$23:$B$39,0),MATCH($X94,'Data manipulation'!$C$22:$O$22,0))/1000,0)*SUMIFS('Regional split'!$F$4:$F$6,'Regional split'!$B$4:$B$6,Z$3)*SUMIFS('Data manipulation'!$V$39:$V$42,'Data manipulation'!$X$39:$X$42,$E94,'Data manipulation'!$Y$39:$Y$42,$D94)</f>
        <v>0</v>
      </c>
      <c r="AA94" s="455">
        <f>_xlfn.IFNA(INDEX('Data manipulation'!$C$23:$O$39,MATCH($V94,'Data manipulation'!$B$23:$B$39,0),MATCH($X94,'Data manipulation'!$C$22:$O$22,0))/1000,0)*SUMIFS('Regional split'!$F$4:$F$6,'Regional split'!$B$4:$B$6,AA$3)*SUMIFS('Data manipulation'!$V$39:$V$42,'Data manipulation'!$X$39:$X$42,$E94,'Data manipulation'!$Y$39:$Y$42,$D94)</f>
        <v>0</v>
      </c>
      <c r="AB94" s="444">
        <f t="shared" si="63"/>
        <v>0.1648624873</v>
      </c>
      <c r="AC94" s="251">
        <f t="shared" si="64"/>
        <v>0</v>
      </c>
      <c r="AD94" s="445">
        <f t="shared" si="65"/>
        <v>0</v>
      </c>
      <c r="AE94" s="262"/>
      <c r="AU94" s="260"/>
      <c r="AZ94" s="252"/>
    </row>
    <row r="95" spans="2:52" ht="15" customHeight="1">
      <c r="B95" s="233" t="str">
        <f t="shared" ref="B95:G95" si="128">B55</f>
        <v>CHTUDSOLE1</v>
      </c>
      <c r="C95" s="233" t="str">
        <f t="shared" si="128"/>
        <v>Residential Heating Technology Urban Detached - Solar - Existing 1</v>
      </c>
      <c r="D95" s="233" t="str">
        <f t="shared" si="128"/>
        <v>Urban</v>
      </c>
      <c r="E95" s="233" t="str">
        <f t="shared" si="128"/>
        <v>Detached</v>
      </c>
      <c r="F95" s="233" t="str">
        <f t="shared" si="128"/>
        <v>COMSOL</v>
      </c>
      <c r="G95" s="233" t="str">
        <f t="shared" si="128"/>
        <v>COMHUDB</v>
      </c>
      <c r="H95" s="230">
        <v>2018</v>
      </c>
      <c r="I95" s="250">
        <f t="shared" si="121"/>
        <v>10.5</v>
      </c>
      <c r="J95" s="250">
        <f t="shared" si="122"/>
        <v>0</v>
      </c>
      <c r="K95" s="250">
        <f t="shared" si="123"/>
        <v>0</v>
      </c>
      <c r="L95" s="463">
        <v>1</v>
      </c>
      <c r="M95" s="463">
        <v>1</v>
      </c>
      <c r="N95" s="463">
        <v>1</v>
      </c>
      <c r="O95" s="244">
        <f t="shared" si="125"/>
        <v>3.1536000000000002E-2</v>
      </c>
      <c r="P95" s="459">
        <v>0.15</v>
      </c>
      <c r="Q95" s="245">
        <v>20</v>
      </c>
      <c r="R95" s="227">
        <v>1.05</v>
      </c>
      <c r="T95" s="268">
        <f t="shared" si="80"/>
        <v>4.9669200000000004E-2</v>
      </c>
      <c r="U95" s="268"/>
      <c r="V95" s="592" t="str">
        <f>'Data manipulation'!$B$29</f>
        <v>Solar thermal</v>
      </c>
      <c r="W95" s="254" t="s">
        <v>169</v>
      </c>
      <c r="X95" s="246">
        <v>2018</v>
      </c>
      <c r="Y95" s="433">
        <f>_xlfn.IFNA(INDEX('Data manipulation'!$C$23:$O$39,MATCH($V95,'Data manipulation'!$B$23:$B$39,0),MATCH($X95,'Data manipulation'!$C$22:$O$22,0))/1000,0)*SUMIFS('Regional split'!$F$4:$F$6,'Regional split'!$B$4:$B$6,Y$3)*SUMIFS('Data manipulation'!$V$39:$V$42,'Data manipulation'!$X$39:$X$42,$E95,'Data manipulation'!$Y$39:$Y$42,$D95)</f>
        <v>4.7044065000000003E-2</v>
      </c>
      <c r="Z95" s="270">
        <f>_xlfn.IFNA(INDEX('Data manipulation'!$C$23:$O$39,MATCH($V95,'Data manipulation'!$B$23:$B$39,0),MATCH($X95,'Data manipulation'!$C$22:$O$22,0))/1000,0)*SUMIFS('Regional split'!$F$4:$F$6,'Regional split'!$B$4:$B$6,Z$3)*SUMIFS('Data manipulation'!$V$39:$V$42,'Data manipulation'!$X$39:$X$42,$E95,'Data manipulation'!$Y$39:$Y$42,$D95)</f>
        <v>0</v>
      </c>
      <c r="AA95" s="455">
        <f>_xlfn.IFNA(INDEX('Data manipulation'!$C$23:$O$39,MATCH($V95,'Data manipulation'!$B$23:$B$39,0),MATCH($X95,'Data manipulation'!$C$22:$O$22,0))/1000,0)*SUMIFS('Regional split'!$F$4:$F$6,'Regional split'!$B$4:$B$6,AA$3)*SUMIFS('Data manipulation'!$V$39:$V$42,'Data manipulation'!$X$39:$X$42,$E95,'Data manipulation'!$Y$39:$Y$42,$D95)</f>
        <v>0</v>
      </c>
      <c r="AB95" s="444">
        <f t="shared" si="63"/>
        <v>4.7044065000000003E-2</v>
      </c>
      <c r="AC95" s="251">
        <f t="shared" si="64"/>
        <v>0</v>
      </c>
      <c r="AD95" s="445">
        <f t="shared" si="65"/>
        <v>0</v>
      </c>
      <c r="AE95" s="262"/>
      <c r="AU95" s="260"/>
      <c r="AZ95" s="252"/>
    </row>
    <row r="96" spans="2:52" ht="15" customHeight="1">
      <c r="B96" s="233" t="str">
        <f t="shared" ref="B96:G96" si="129">B56</f>
        <v>CHTUDELCHE1</v>
      </c>
      <c r="C96" s="233" t="str">
        <f t="shared" si="129"/>
        <v>Residential Heating Technology Urban Detached - Electricity Heating - Existing 1</v>
      </c>
      <c r="D96" s="233" t="str">
        <f t="shared" si="129"/>
        <v>Urban</v>
      </c>
      <c r="E96" s="233" t="str">
        <f t="shared" si="129"/>
        <v>Detached</v>
      </c>
      <c r="F96" s="233" t="str">
        <f t="shared" si="129"/>
        <v>COMELCH</v>
      </c>
      <c r="G96" s="233" t="str">
        <f t="shared" si="129"/>
        <v>COMHUDB</v>
      </c>
      <c r="H96" s="230">
        <v>2018</v>
      </c>
      <c r="I96" s="250">
        <f t="shared" si="121"/>
        <v>1691.8</v>
      </c>
      <c r="J96" s="250">
        <f t="shared" si="122"/>
        <v>0</v>
      </c>
      <c r="K96" s="250">
        <f t="shared" si="123"/>
        <v>0</v>
      </c>
      <c r="L96" s="463">
        <v>1</v>
      </c>
      <c r="M96" s="463">
        <v>1</v>
      </c>
      <c r="N96" s="463">
        <v>1</v>
      </c>
      <c r="O96" s="244">
        <f t="shared" si="125"/>
        <v>3.1536000000000002E-2</v>
      </c>
      <c r="P96" s="459">
        <v>0.15</v>
      </c>
      <c r="Q96" s="245">
        <v>30</v>
      </c>
      <c r="R96" s="227">
        <v>1.05</v>
      </c>
      <c r="T96" s="268">
        <f t="shared" si="80"/>
        <v>8.0028907199999999</v>
      </c>
      <c r="U96" s="268"/>
      <c r="V96" s="592" t="str">
        <f>'Data manipulation'!$B$33</f>
        <v>Electricity</v>
      </c>
      <c r="W96" s="254" t="s">
        <v>170</v>
      </c>
      <c r="X96" s="246">
        <v>2018</v>
      </c>
      <c r="Y96" s="433">
        <f>_xlfn.IFNA(INDEX('Data manipulation'!$C$23:$O$39,MATCH($V96,'Data manipulation'!$B$23:$B$39,0),MATCH($X96,'Data manipulation'!$C$22:$O$22,0))/1000,0)*SUMIFS('Regional split'!$F$4:$F$6,'Regional split'!$B$4:$B$6,Y$3)*SUMIFS('Data manipulation'!$V$39:$V$42,'Data manipulation'!$X$39:$X$42,$E96,'Data manipulation'!$Y$39:$Y$42,$D96)</f>
        <v>7.6216198390872867</v>
      </c>
      <c r="Z96" s="270">
        <f>_xlfn.IFNA(INDEX('Data manipulation'!$C$23:$O$39,MATCH($V96,'Data manipulation'!$B$23:$B$39,0),MATCH($X96,'Data manipulation'!$C$22:$O$22,0))/1000,0)*SUMIFS('Regional split'!$F$4:$F$6,'Regional split'!$B$4:$B$6,Z$3)*SUMIFS('Data manipulation'!$V$39:$V$42,'Data manipulation'!$X$39:$X$42,$E96,'Data manipulation'!$Y$39:$Y$42,$D96)</f>
        <v>0</v>
      </c>
      <c r="AA96" s="455">
        <f>_xlfn.IFNA(INDEX('Data manipulation'!$C$23:$O$39,MATCH($V96,'Data manipulation'!$B$23:$B$39,0),MATCH($X96,'Data manipulation'!$C$22:$O$22,0))/1000,0)*SUMIFS('Regional split'!$F$4:$F$6,'Regional split'!$B$4:$B$6,AA$3)*SUMIFS('Data manipulation'!$V$39:$V$42,'Data manipulation'!$X$39:$X$42,$E96,'Data manipulation'!$Y$39:$Y$42,$D96)</f>
        <v>0</v>
      </c>
      <c r="AB96" s="444">
        <f t="shared" si="63"/>
        <v>7.6216198390872867</v>
      </c>
      <c r="AC96" s="251">
        <f t="shared" si="64"/>
        <v>0</v>
      </c>
      <c r="AD96" s="445">
        <f t="shared" si="65"/>
        <v>0</v>
      </c>
      <c r="AU96" s="260"/>
      <c r="AZ96" s="252"/>
    </row>
    <row r="97" spans="2:52" ht="15" customHeight="1">
      <c r="B97" s="233" t="str">
        <f t="shared" ref="B97:G97" si="130">B57</f>
        <v>CHTUDELCHE2</v>
      </c>
      <c r="C97" s="233" t="str">
        <f t="shared" si="130"/>
        <v>Residential Heating Technology Urban Detached - Electricity Heating - Existing 2</v>
      </c>
      <c r="D97" s="233" t="str">
        <f t="shared" si="130"/>
        <v>Urban</v>
      </c>
      <c r="E97" s="233" t="str">
        <f t="shared" si="130"/>
        <v>Detached</v>
      </c>
      <c r="F97" s="233" t="str">
        <f t="shared" si="130"/>
        <v>COMELCH</v>
      </c>
      <c r="G97" s="233" t="str">
        <f t="shared" si="130"/>
        <v>COMHUDB</v>
      </c>
      <c r="H97" s="230">
        <v>2018</v>
      </c>
      <c r="I97" s="250">
        <f t="shared" si="121"/>
        <v>460.6</v>
      </c>
      <c r="J97" s="250">
        <f t="shared" si="122"/>
        <v>0</v>
      </c>
      <c r="K97" s="250">
        <f t="shared" si="123"/>
        <v>0</v>
      </c>
      <c r="L97" s="463">
        <v>2.3149999999999999</v>
      </c>
      <c r="M97" s="463">
        <v>2.3149999999999999</v>
      </c>
      <c r="N97" s="463">
        <v>2.3149999999999999</v>
      </c>
      <c r="O97" s="244">
        <f t="shared" si="125"/>
        <v>3.1536000000000002E-2</v>
      </c>
      <c r="P97" s="459">
        <v>0.15</v>
      </c>
      <c r="Q97" s="245">
        <v>30</v>
      </c>
      <c r="R97" s="227">
        <v>1.05</v>
      </c>
      <c r="T97" s="268">
        <f t="shared" si="80"/>
        <v>0.94117591360691155</v>
      </c>
      <c r="U97" s="268"/>
      <c r="V97" s="592" t="str">
        <f>'Data manipulation'!$B$30</f>
        <v>Ambient heat (heat pumps)</v>
      </c>
      <c r="W97" s="254" t="s">
        <v>171</v>
      </c>
      <c r="X97" s="246">
        <v>2018</v>
      </c>
      <c r="Y97" s="433">
        <f>_xlfn.IFNA(INDEX('Data manipulation'!$C$23:$O$39,MATCH($V97,'Data manipulation'!$B$23:$B$39,0),MATCH($X97,'Data manipulation'!$C$22:$O$22,0))/1000,0)*SUMIFS('Regional split'!$F$4:$F$6,'Regional split'!$B$4:$B$6,Y$3)*SUMIFS('Data manipulation'!$V$39:$V$42,'Data manipulation'!$X$39:$X$42,$E97,'Data manipulation'!$Y$39:$Y$42,$D97)</f>
        <v>0.89617619000000015</v>
      </c>
      <c r="Z97" s="270">
        <f>_xlfn.IFNA(INDEX('Data manipulation'!$C$23:$O$39,MATCH($V97,'Data manipulation'!$B$23:$B$39,0),MATCH($X97,'Data manipulation'!$C$22:$O$22,0))/1000,0)*SUMIFS('Regional split'!$F$4:$F$6,'Regional split'!$B$4:$B$6,Z$3)*SUMIFS('Data manipulation'!$V$39:$V$42,'Data manipulation'!$X$39:$X$42,$E97,'Data manipulation'!$Y$39:$Y$42,$D97)</f>
        <v>0</v>
      </c>
      <c r="AA97" s="455">
        <f>_xlfn.IFNA(INDEX('Data manipulation'!$C$23:$O$39,MATCH($V97,'Data manipulation'!$B$23:$B$39,0),MATCH($X97,'Data manipulation'!$C$22:$O$22,0))/1000,0)*SUMIFS('Regional split'!$F$4:$F$6,'Regional split'!$B$4:$B$6,AA$3)*SUMIFS('Data manipulation'!$V$39:$V$42,'Data manipulation'!$X$39:$X$42,$E97,'Data manipulation'!$Y$39:$Y$42,$D97)</f>
        <v>0</v>
      </c>
      <c r="AB97" s="444">
        <f t="shared" si="63"/>
        <v>2.0746478798500001</v>
      </c>
      <c r="AC97" s="251">
        <f t="shared" si="64"/>
        <v>0</v>
      </c>
      <c r="AD97" s="445">
        <f t="shared" si="65"/>
        <v>0</v>
      </c>
      <c r="AU97" s="260"/>
      <c r="AZ97" s="252"/>
    </row>
    <row r="98" spans="2:52" ht="15" customHeight="1">
      <c r="B98" s="233" t="str">
        <f t="shared" ref="B98:G98" si="131">B58</f>
        <v>CHTUDHCEE1</v>
      </c>
      <c r="C98" s="233" t="str">
        <f t="shared" si="131"/>
        <v>Residential Heating Technology Urban Detached - District heating Central - Existing 1</v>
      </c>
      <c r="D98" s="233" t="str">
        <f t="shared" si="131"/>
        <v>Urban</v>
      </c>
      <c r="E98" s="233" t="str">
        <f t="shared" si="131"/>
        <v>Detached</v>
      </c>
      <c r="F98" s="233" t="str">
        <f t="shared" si="131"/>
        <v>COMHCE</v>
      </c>
      <c r="G98" s="233" t="str">
        <f t="shared" si="131"/>
        <v>COMHUDX</v>
      </c>
      <c r="H98" s="230">
        <v>2018</v>
      </c>
      <c r="I98" s="250">
        <f t="shared" si="121"/>
        <v>2891.9</v>
      </c>
      <c r="J98" s="568">
        <v>0</v>
      </c>
      <c r="K98" s="568">
        <v>0</v>
      </c>
      <c r="L98" s="463">
        <v>0.95</v>
      </c>
      <c r="M98" s="463">
        <v>0.95</v>
      </c>
      <c r="N98" s="463">
        <v>0.95</v>
      </c>
      <c r="O98" s="244">
        <f t="shared" si="125"/>
        <v>3.1536000000000002E-2</v>
      </c>
      <c r="P98" s="459">
        <v>0.15</v>
      </c>
      <c r="Q98" s="245">
        <v>30</v>
      </c>
      <c r="R98" s="227">
        <v>1.05</v>
      </c>
      <c r="T98" s="268">
        <f t="shared" si="80"/>
        <v>14.399835536842106</v>
      </c>
      <c r="U98" s="268"/>
      <c r="V98" s="592" t="str">
        <f>'Data manipulation'!$B$34</f>
        <v>Heat</v>
      </c>
      <c r="W98" s="254" t="s">
        <v>172</v>
      </c>
      <c r="X98" s="246">
        <v>2018</v>
      </c>
      <c r="Y98" s="433">
        <f>_xlfn.IFNA(INDEX('Data manipulation'!$C$23:$O$39,MATCH($V98,'Data manipulation'!$B$23:$B$39,0),MATCH($X98,'Data manipulation'!$C$22:$O$22,0))/1000,0)*SUMIFS('Regional split'!$F$4:$F$6,'Regional split'!$B$4:$B$6,Y$3)*SUMIFS('Data manipulation'!$V$39:$V$42,'Data manipulation'!$X$39:$X$42,$E98,'Data manipulation'!$Y$39:$Y$42,$D98)</f>
        <v>13.71409982152505</v>
      </c>
      <c r="Z98" s="270">
        <f>_xlfn.IFNA(INDEX('Data manipulation'!$C$23:$O$39,MATCH($V98,'Data manipulation'!$B$23:$B$39,0),MATCH($X98,'Data manipulation'!$C$22:$O$22,0))/1000,0)*SUMIFS('Regional split'!$F$4:$F$6,'Regional split'!$B$4:$B$6,Z$3)*SUMIFS('Data manipulation'!$V$39:$V$42,'Data manipulation'!$X$39:$X$42,$E98,'Data manipulation'!$Y$39:$Y$42,$D98)</f>
        <v>0</v>
      </c>
      <c r="AA98" s="455">
        <f>_xlfn.IFNA(INDEX('Data manipulation'!$C$23:$O$39,MATCH($V98,'Data manipulation'!$B$23:$B$39,0),MATCH($X98,'Data manipulation'!$C$22:$O$22,0))/1000,0)*SUMIFS('Regional split'!$F$4:$F$6,'Regional split'!$B$4:$B$6,AA$3)*SUMIFS('Data manipulation'!$V$39:$V$42,'Data manipulation'!$X$39:$X$42,$E98,'Data manipulation'!$Y$39:$Y$42,$D98)</f>
        <v>0</v>
      </c>
      <c r="AB98" s="444">
        <f t="shared" si="63"/>
        <v>13.028394830448796</v>
      </c>
      <c r="AC98" s="251">
        <f t="shared" si="64"/>
        <v>0</v>
      </c>
      <c r="AD98" s="445">
        <f t="shared" si="65"/>
        <v>0</v>
      </c>
      <c r="AU98" s="260"/>
      <c r="AZ98" s="252"/>
    </row>
    <row r="99" spans="2:52" ht="15" customHeight="1" thickBot="1">
      <c r="B99" s="255" t="str">
        <f t="shared" ref="B99:G99" si="132">B59</f>
        <v>CHTUDLPGE1</v>
      </c>
      <c r="C99" s="255" t="str">
        <f t="shared" si="132"/>
        <v>Residential Heating Technology Urban Detached - LPG - Existing 1</v>
      </c>
      <c r="D99" s="531" t="str">
        <f t="shared" si="132"/>
        <v>Urban</v>
      </c>
      <c r="E99" s="531" t="str">
        <f t="shared" si="132"/>
        <v>Detached</v>
      </c>
      <c r="F99" s="255" t="str">
        <f t="shared" si="132"/>
        <v>COMLPG</v>
      </c>
      <c r="G99" s="255" t="str">
        <f t="shared" si="132"/>
        <v>COMHUDB</v>
      </c>
      <c r="H99" s="423">
        <v>2018</v>
      </c>
      <c r="I99" s="297">
        <f t="shared" ref="I99" si="133">ROUNDUP(AB99/($O99*$P99)*$R99,1)</f>
        <v>353.1</v>
      </c>
      <c r="J99" s="297">
        <f t="shared" ref="J99" si="134">ROUNDUP(AC99/($O99*$P99)*$R99,1)</f>
        <v>0</v>
      </c>
      <c r="K99" s="297">
        <f t="shared" ref="K99" si="135">ROUNDUP(AD99/($O99*$P99)*$R99,1)</f>
        <v>0</v>
      </c>
      <c r="L99" s="464">
        <v>0.95</v>
      </c>
      <c r="M99" s="464">
        <v>0.95</v>
      </c>
      <c r="N99" s="464">
        <v>0.95</v>
      </c>
      <c r="O99" s="257">
        <f t="shared" si="125"/>
        <v>3.1536000000000002E-2</v>
      </c>
      <c r="P99" s="460">
        <v>0.15</v>
      </c>
      <c r="Q99" s="258">
        <v>30</v>
      </c>
      <c r="R99" s="227">
        <v>1.05</v>
      </c>
      <c r="T99" s="268">
        <f t="shared" si="80"/>
        <v>1.7582149894736845</v>
      </c>
      <c r="U99" s="268"/>
      <c r="V99" s="593" t="str">
        <f>'Data manipulation'!$B$25</f>
        <v>Liquefied natural gas</v>
      </c>
      <c r="W99" s="428" t="s">
        <v>771</v>
      </c>
      <c r="X99" s="246">
        <v>2018</v>
      </c>
      <c r="Y99" s="434">
        <f>_xlfn.IFNA(INDEX('Data manipulation'!$C$23:$O$39,MATCH($V99,'Data manipulation'!$B$23:$B$39,0),MATCH($X99,'Data manipulation'!$C$22:$O$22,0))/1000,0)*SUMIFS('Regional split'!$F$4:$F$6,'Regional split'!$B$4:$B$6,Y$3)*SUMIFS('Data manipulation'!$V$39:$V$42,'Data manipulation'!$X$39:$X$42,$E99,'Data manipulation'!$Y$39:$Y$42,$D99)</f>
        <v>1.674217802</v>
      </c>
      <c r="Z99" s="431">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51">
        <f t="shared" si="63"/>
        <v>1.5905069118999999</v>
      </c>
      <c r="AC99" s="277">
        <f t="shared" si="64"/>
        <v>0</v>
      </c>
      <c r="AD99" s="447">
        <f t="shared" si="65"/>
        <v>0</v>
      </c>
      <c r="AU99" s="260"/>
      <c r="AZ99" s="252"/>
    </row>
    <row r="100" spans="2:52" ht="15" customHeight="1">
      <c r="B100" s="233" t="str">
        <f t="shared" ref="B100:G100" si="136">B60</f>
        <v>CHTRDNGAE1</v>
      </c>
      <c r="C100" s="233" t="str">
        <f t="shared" si="136"/>
        <v>Residential Heating Technology Rural Detached - Natural Gas - Existing 1</v>
      </c>
      <c r="D100" s="233" t="str">
        <f t="shared" si="136"/>
        <v>Rural</v>
      </c>
      <c r="E100" s="233" t="str">
        <f t="shared" si="136"/>
        <v>Detached</v>
      </c>
      <c r="F100" s="233" t="str">
        <f t="shared" si="136"/>
        <v>COMNGA,COMSNG</v>
      </c>
      <c r="G100" s="233" t="str">
        <f t="shared" si="136"/>
        <v>COMHRDB</v>
      </c>
      <c r="H100" s="259">
        <v>2018</v>
      </c>
      <c r="I100" s="250">
        <f>ROUNDUP(AB100/($O100*$P100)*$R100,1)</f>
        <v>28053.8</v>
      </c>
      <c r="J100" s="250">
        <f>ROUNDUP(AC100/($O100*$P100)*$R100,1)</f>
        <v>0</v>
      </c>
      <c r="K100" s="250">
        <f>ROUNDUP(AD100/($O100*$P100)*$R100,1)</f>
        <v>0</v>
      </c>
      <c r="L100" s="463">
        <v>0.79</v>
      </c>
      <c r="M100" s="463">
        <v>0.79</v>
      </c>
      <c r="N100" s="463">
        <v>0.79</v>
      </c>
      <c r="O100" s="244">
        <f t="shared" si="125"/>
        <v>3.1536000000000002E-2</v>
      </c>
      <c r="P100" s="459">
        <v>0.15</v>
      </c>
      <c r="Q100" s="245">
        <v>25</v>
      </c>
      <c r="R100" s="227">
        <v>1.05</v>
      </c>
      <c r="T100" s="268">
        <f t="shared" si="80"/>
        <v>167.98189306329115</v>
      </c>
      <c r="U100" s="268"/>
      <c r="V100" s="592" t="str">
        <f>'Data manipulation'!$B$36</f>
        <v>Natural gas and biogas</v>
      </c>
      <c r="W100" s="246" t="s">
        <v>168</v>
      </c>
      <c r="X100" s="246">
        <v>2018</v>
      </c>
      <c r="Y100" s="433">
        <f>_xlfn.IFNA(INDEX('Data manipulation'!$C$23:$O$39,MATCH($V100,'Data manipulation'!$B$23:$B$39,0),MATCH($X100,'Data manipulation'!$C$22:$O$22,0))/1000,0)*SUMIFS('Regional split'!$F$4:$F$6,'Regional split'!$B$4:$B$6,Y$3)*SUMIFS('Data manipulation'!$V$39:$V$42,'Data manipulation'!$X$39:$X$42,$E100,'Data manipulation'!$Y$39:$Y$42,$D100)</f>
        <v>159.98273203030911</v>
      </c>
      <c r="Z100" s="270">
        <f>_xlfn.IFNA(INDEX('Data manipulation'!$C$23:$O$39,MATCH($V100,'Data manipulation'!$B$23:$B$39,0),MATCH($X100,'Data manipulation'!$C$22:$O$22,0))/1000,0)*SUMIFS('Regional split'!$F$4:$F$6,'Regional split'!$B$4:$B$6,Z$3)*SUMIFS('Data manipulation'!$V$39:$V$42,'Data manipulation'!$X$39:$X$42,$E100,'Data manipulation'!$Y$39:$Y$42,$D100)</f>
        <v>0</v>
      </c>
      <c r="AA100" s="455">
        <f>_xlfn.IFNA(INDEX('Data manipulation'!$C$23:$O$39,MATCH($V100,'Data manipulation'!$B$23:$B$39,0),MATCH($X100,'Data manipulation'!$C$22:$O$22,0))/1000,0)*SUMIFS('Regional split'!$F$4:$F$6,'Regional split'!$B$4:$B$6,AA$3)*SUMIFS('Data manipulation'!$V$39:$V$42,'Data manipulation'!$X$39:$X$42,$E100,'Data manipulation'!$Y$39:$Y$42,$D100)</f>
        <v>0</v>
      </c>
      <c r="AB100" s="452">
        <f t="shared" si="63"/>
        <v>126.38635830394421</v>
      </c>
      <c r="AC100" s="278">
        <f t="shared" si="64"/>
        <v>0</v>
      </c>
      <c r="AD100" s="448">
        <f t="shared" si="65"/>
        <v>0</v>
      </c>
      <c r="AU100" s="260"/>
      <c r="AZ100" s="252"/>
    </row>
    <row r="101" spans="2:52" ht="15" customHeight="1">
      <c r="B101" s="233" t="str">
        <f t="shared" ref="B101:G101" si="137">B61</f>
        <v>CHTRDDSLE1</v>
      </c>
      <c r="C101" s="233" t="str">
        <f t="shared" si="137"/>
        <v>Residential Heating Technology Rural Detached - Diesel - Existing 1</v>
      </c>
      <c r="D101" s="233" t="str">
        <f t="shared" si="137"/>
        <v>Rural</v>
      </c>
      <c r="E101" s="233" t="str">
        <f t="shared" si="137"/>
        <v>Detached</v>
      </c>
      <c r="F101" s="233" t="str">
        <f t="shared" si="137"/>
        <v>COMDSL,COMDSB</v>
      </c>
      <c r="G101" s="233" t="str">
        <f t="shared" si="137"/>
        <v>COMHRDB</v>
      </c>
      <c r="H101" s="259">
        <v>2018</v>
      </c>
      <c r="I101" s="250">
        <f t="shared" ref="I101:I107" si="138">ROUNDUP(AB101/($O101*$P101)*$R101,1)</f>
        <v>0</v>
      </c>
      <c r="J101" s="250">
        <f t="shared" ref="J101:J107" si="139">ROUNDUP(AC101/($O101*$P101)*$R101,1)</f>
        <v>0</v>
      </c>
      <c r="K101" s="250">
        <f t="shared" ref="K101:K107" si="140">ROUNDUP(AD101/($O101*$P101)*$R101,1)</f>
        <v>0</v>
      </c>
      <c r="L101" s="463">
        <v>0.79</v>
      </c>
      <c r="M101" s="463">
        <v>0.79</v>
      </c>
      <c r="N101" s="463">
        <v>0.79</v>
      </c>
      <c r="O101" s="244">
        <f t="shared" si="125"/>
        <v>3.1536000000000002E-2</v>
      </c>
      <c r="P101" s="459">
        <v>0.15</v>
      </c>
      <c r="Q101" s="245">
        <v>20</v>
      </c>
      <c r="R101" s="227">
        <v>1.05</v>
      </c>
      <c r="T101" s="268">
        <f t="shared" si="80"/>
        <v>0</v>
      </c>
      <c r="V101" s="592" t="str">
        <f>'Data manipulation'!$B$35</f>
        <v>Oil products</v>
      </c>
      <c r="W101" s="254" t="s">
        <v>729</v>
      </c>
      <c r="X101" s="246">
        <v>2018</v>
      </c>
      <c r="Y101" s="433">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5">
        <f>_xlfn.IFNA(INDEX('Data manipulation'!$C$23:$O$39,MATCH($V101,'Data manipulation'!$B$23:$B$39,0),MATCH($X101,'Data manipulation'!$C$22:$O$22,0))/1000,0)*SUMIFS('Regional split'!$F$4:$F$6,'Regional split'!$B$4:$B$6,AA$3)*SUMIFS('Data manipulation'!$V$39:$V$42,'Data manipulation'!$X$39:$X$42,$E101,'Data manipulation'!$Y$39:$Y$42,$D101)</f>
        <v>0</v>
      </c>
      <c r="AB101" s="444">
        <f t="shared" si="63"/>
        <v>0</v>
      </c>
      <c r="AC101" s="251">
        <f t="shared" si="64"/>
        <v>0</v>
      </c>
      <c r="AD101" s="445">
        <f t="shared" si="65"/>
        <v>0</v>
      </c>
      <c r="AU101" s="260"/>
      <c r="AZ101" s="252"/>
    </row>
    <row r="102" spans="2:52" ht="15" customHeight="1">
      <c r="B102" s="233" t="str">
        <f t="shared" ref="B102:G102" si="141">B62</f>
        <v>CHTRDWPEE1</v>
      </c>
      <c r="C102" s="233" t="str">
        <f t="shared" si="141"/>
        <v>Residential Heating Technology Rural Detached - Wood pellets - Existing 1</v>
      </c>
      <c r="D102" s="233" t="str">
        <f t="shared" si="141"/>
        <v>Rural</v>
      </c>
      <c r="E102" s="233" t="str">
        <f t="shared" si="141"/>
        <v>Detached</v>
      </c>
      <c r="F102" s="233" t="str">
        <f t="shared" si="141"/>
        <v>COMWPE</v>
      </c>
      <c r="G102" s="233" t="str">
        <f t="shared" si="141"/>
        <v>COMHRDB</v>
      </c>
      <c r="H102" s="259">
        <v>2018</v>
      </c>
      <c r="I102" s="250">
        <f t="shared" si="138"/>
        <v>0</v>
      </c>
      <c r="J102" s="250">
        <f t="shared" si="139"/>
        <v>0</v>
      </c>
      <c r="K102" s="250">
        <f t="shared" si="140"/>
        <v>0</v>
      </c>
      <c r="L102" s="463">
        <v>0.67</v>
      </c>
      <c r="M102" s="463">
        <v>0.67</v>
      </c>
      <c r="N102" s="463">
        <v>0.67</v>
      </c>
      <c r="O102" s="244">
        <f>31.536/1000</f>
        <v>3.1536000000000002E-2</v>
      </c>
      <c r="P102" s="459">
        <v>0.15</v>
      </c>
      <c r="Q102" s="245">
        <v>20</v>
      </c>
      <c r="R102" s="227">
        <v>1.05</v>
      </c>
      <c r="T102" s="268">
        <f t="shared" si="80"/>
        <v>0</v>
      </c>
      <c r="U102" s="268"/>
      <c r="W102" s="254" t="s">
        <v>866</v>
      </c>
      <c r="X102" s="246">
        <v>2018</v>
      </c>
      <c r="Y102" s="433">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5">
        <f>_xlfn.IFNA(INDEX('Data manipulation'!$C$23:$O$39,MATCH($V102,'Data manipulation'!$B$23:$B$39,0),MATCH($X102,'Data manipulation'!$C$22:$O$22,0))/1000,0)*SUMIFS('Regional split'!$F$4:$F$6,'Regional split'!$B$4:$B$6,AA$3)*SUMIFS('Data manipulation'!$V$39:$V$42,'Data manipulation'!$X$39:$X$42,$E102,'Data manipulation'!$Y$39:$Y$42,$D102)</f>
        <v>0</v>
      </c>
      <c r="AB102" s="444">
        <f t="shared" si="63"/>
        <v>0</v>
      </c>
      <c r="AC102" s="251">
        <f t="shared" si="64"/>
        <v>0</v>
      </c>
      <c r="AD102" s="445">
        <f t="shared" si="65"/>
        <v>0</v>
      </c>
      <c r="AU102" s="260"/>
      <c r="AZ102" s="252"/>
    </row>
    <row r="103" spans="2:52" ht="15" customHeight="1">
      <c r="B103" s="233" t="str">
        <f t="shared" ref="B103:G103" si="142">B63</f>
        <v>CHTRDFIWE1</v>
      </c>
      <c r="C103" s="233" t="str">
        <f t="shared" si="142"/>
        <v>Residential Heating Technology Rural Detached - Fire wood - Existing 1</v>
      </c>
      <c r="D103" s="233" t="str">
        <f t="shared" si="142"/>
        <v>Rural</v>
      </c>
      <c r="E103" s="233" t="str">
        <f t="shared" si="142"/>
        <v>Detached</v>
      </c>
      <c r="F103" s="233" t="str">
        <f t="shared" si="142"/>
        <v>COMFIW</v>
      </c>
      <c r="G103" s="233" t="str">
        <f t="shared" si="142"/>
        <v>COMHRDB</v>
      </c>
      <c r="H103" s="259">
        <v>2018</v>
      </c>
      <c r="I103" s="250">
        <f t="shared" si="138"/>
        <v>3494</v>
      </c>
      <c r="J103" s="250">
        <f t="shared" si="139"/>
        <v>0</v>
      </c>
      <c r="K103" s="250">
        <f t="shared" si="140"/>
        <v>0</v>
      </c>
      <c r="L103" s="463">
        <v>0.67</v>
      </c>
      <c r="M103" s="463">
        <v>0.67</v>
      </c>
      <c r="N103" s="463">
        <v>0.67</v>
      </c>
      <c r="O103" s="244">
        <f>31.536/1000</f>
        <v>3.1536000000000002E-2</v>
      </c>
      <c r="P103" s="459">
        <v>0.15</v>
      </c>
      <c r="Q103" s="245">
        <v>20</v>
      </c>
      <c r="R103" s="227">
        <v>1.05</v>
      </c>
      <c r="T103" s="268">
        <f t="shared" si="80"/>
        <v>24.668682985074621</v>
      </c>
      <c r="U103" s="268"/>
      <c r="V103" s="592" t="str">
        <f>'Data manipulation'!$B$31</f>
        <v>Primary solid biofuels</v>
      </c>
      <c r="W103" s="254" t="s">
        <v>177</v>
      </c>
      <c r="X103" s="246">
        <v>2018</v>
      </c>
      <c r="Y103" s="433">
        <f>_xlfn.IFNA(INDEX('Data manipulation'!$C$23:$O$39,MATCH($V103,'Data manipulation'!$B$23:$B$39,0),MATCH($X103,'Data manipulation'!$C$22:$O$22,0))/1000,0)*SUMIFS('Regional split'!$F$4:$F$6,'Regional split'!$B$4:$B$6,Y$3)*SUMIFS('Data manipulation'!$V$39:$V$42,'Data manipulation'!$X$39:$X$42,$E103,'Data manipulation'!$Y$39:$Y$42,$D103)</f>
        <v>23.493457507937638</v>
      </c>
      <c r="Z103" s="270">
        <f>_xlfn.IFNA(INDEX('Data manipulation'!$C$23:$O$39,MATCH($V103,'Data manipulation'!$B$23:$B$39,0),MATCH($X103,'Data manipulation'!$C$22:$O$22,0))/1000,0)*SUMIFS('Regional split'!$F$4:$F$6,'Regional split'!$B$4:$B$6,Z$3)*SUMIFS('Data manipulation'!$V$39:$V$42,'Data manipulation'!$X$39:$X$42,$E103,'Data manipulation'!$Y$39:$Y$42,$D103)</f>
        <v>0</v>
      </c>
      <c r="AA103" s="455">
        <f>_xlfn.IFNA(INDEX('Data manipulation'!$C$23:$O$39,MATCH($V103,'Data manipulation'!$B$23:$B$39,0),MATCH($X103,'Data manipulation'!$C$22:$O$22,0))/1000,0)*SUMIFS('Regional split'!$F$4:$F$6,'Regional split'!$B$4:$B$6,AA$3)*SUMIFS('Data manipulation'!$V$39:$V$42,'Data manipulation'!$X$39:$X$42,$E103,'Data manipulation'!$Y$39:$Y$42,$D103)</f>
        <v>0</v>
      </c>
      <c r="AB103" s="444">
        <f t="shared" si="63"/>
        <v>15.740616530318219</v>
      </c>
      <c r="AC103" s="251">
        <f t="shared" si="64"/>
        <v>0</v>
      </c>
      <c r="AD103" s="445">
        <f t="shared" si="65"/>
        <v>0</v>
      </c>
      <c r="AU103" s="260"/>
      <c r="AZ103" s="252"/>
    </row>
    <row r="104" spans="2:52" ht="15" customHeight="1">
      <c r="B104" s="233" t="str">
        <f t="shared" ref="B104:G104" si="143">B64</f>
        <v>CHTRDCOAE1</v>
      </c>
      <c r="C104" s="233" t="str">
        <f t="shared" si="143"/>
        <v>Residential Heating Technology Rural Detached - Coal - Existing 1</v>
      </c>
      <c r="D104" s="233" t="str">
        <f t="shared" si="143"/>
        <v>Rural</v>
      </c>
      <c r="E104" s="233" t="str">
        <f t="shared" si="143"/>
        <v>Detached</v>
      </c>
      <c r="F104" s="233" t="str">
        <f t="shared" si="143"/>
        <v>COMCOA</v>
      </c>
      <c r="G104" s="233" t="str">
        <f t="shared" si="143"/>
        <v>COMHRDB</v>
      </c>
      <c r="H104" s="259">
        <v>2018</v>
      </c>
      <c r="I104" s="250">
        <f t="shared" si="138"/>
        <v>61.1</v>
      </c>
      <c r="J104" s="250">
        <f t="shared" si="139"/>
        <v>0</v>
      </c>
      <c r="K104" s="250">
        <f t="shared" si="140"/>
        <v>0</v>
      </c>
      <c r="L104" s="463">
        <v>0.72</v>
      </c>
      <c r="M104" s="463">
        <v>0.72</v>
      </c>
      <c r="N104" s="463">
        <v>0.72</v>
      </c>
      <c r="O104" s="244">
        <f t="shared" si="125"/>
        <v>3.1536000000000002E-2</v>
      </c>
      <c r="P104" s="459">
        <v>0.15</v>
      </c>
      <c r="Q104" s="245">
        <v>20</v>
      </c>
      <c r="R104" s="227">
        <v>1.05</v>
      </c>
      <c r="T104" s="268">
        <f t="shared" si="80"/>
        <v>0.40142700000000003</v>
      </c>
      <c r="U104" s="268"/>
      <c r="V104" s="592" t="str">
        <f>'Data manipulation'!$B$23</f>
        <v>Solid fossil fuels, peat, peat products, oil shale and oil sands</v>
      </c>
      <c r="W104" s="254" t="s">
        <v>863</v>
      </c>
      <c r="X104" s="246">
        <v>2018</v>
      </c>
      <c r="Y104" s="433">
        <f>_xlfn.IFNA(INDEX('Data manipulation'!$C$23:$O$39,MATCH($V104,'Data manipulation'!$B$23:$B$39,0),MATCH($X104,'Data manipulation'!$C$22:$O$22,0))/1000,0)*SUMIFS('Regional split'!$F$4:$F$6,'Regional split'!$B$4:$B$6,Y$3)*SUMIFS('Data manipulation'!$V$39:$V$42,'Data manipulation'!$X$39:$X$42,$E104,'Data manipulation'!$Y$39:$Y$42,$D104)</f>
        <v>0.38173151599999999</v>
      </c>
      <c r="Z104" s="270">
        <f>_xlfn.IFNA(INDEX('Data manipulation'!$C$23:$O$39,MATCH($V104,'Data manipulation'!$B$23:$B$39,0),MATCH($X104,'Data manipulation'!$C$22:$O$22,0))/1000,0)*SUMIFS('Regional split'!$F$4:$F$6,'Regional split'!$B$4:$B$6,Z$3)*SUMIFS('Data manipulation'!$V$39:$V$42,'Data manipulation'!$X$39:$X$42,$E104,'Data manipulation'!$Y$39:$Y$42,$D104)</f>
        <v>0</v>
      </c>
      <c r="AA104" s="455">
        <f>_xlfn.IFNA(INDEX('Data manipulation'!$C$23:$O$39,MATCH($V104,'Data manipulation'!$B$23:$B$39,0),MATCH($X104,'Data manipulation'!$C$22:$O$22,0))/1000,0)*SUMIFS('Regional split'!$F$4:$F$6,'Regional split'!$B$4:$B$6,AA$3)*SUMIFS('Data manipulation'!$V$39:$V$42,'Data manipulation'!$X$39:$X$42,$E104,'Data manipulation'!$Y$39:$Y$42,$D104)</f>
        <v>0</v>
      </c>
      <c r="AB104" s="444">
        <f t="shared" si="63"/>
        <v>0.27484669151999996</v>
      </c>
      <c r="AC104" s="251">
        <f t="shared" si="64"/>
        <v>0</v>
      </c>
      <c r="AD104" s="445">
        <f t="shared" si="65"/>
        <v>0</v>
      </c>
      <c r="AU104" s="260"/>
      <c r="AZ104" s="252"/>
    </row>
    <row r="105" spans="2:52" ht="15" customHeight="1">
      <c r="B105" s="233" t="str">
        <f t="shared" ref="B105:G105" si="144">B65</f>
        <v>CHTRDSOLE1</v>
      </c>
      <c r="C105" s="233" t="str">
        <f t="shared" si="144"/>
        <v>Residential Heating Technology Rural Detached - Solar - Existing 1</v>
      </c>
      <c r="D105" s="233" t="str">
        <f t="shared" si="144"/>
        <v>Rural</v>
      </c>
      <c r="E105" s="233" t="str">
        <f t="shared" si="144"/>
        <v>Detached</v>
      </c>
      <c r="F105" s="233" t="str">
        <f t="shared" si="144"/>
        <v>COMSOL</v>
      </c>
      <c r="G105" s="233" t="str">
        <f t="shared" si="144"/>
        <v>COMHRDB</v>
      </c>
      <c r="H105" s="259">
        <v>2018</v>
      </c>
      <c r="I105" s="250">
        <f t="shared" si="138"/>
        <v>17</v>
      </c>
      <c r="J105" s="250">
        <f t="shared" si="139"/>
        <v>0</v>
      </c>
      <c r="K105" s="250">
        <f t="shared" si="140"/>
        <v>0</v>
      </c>
      <c r="L105" s="463">
        <v>1</v>
      </c>
      <c r="M105" s="463">
        <v>1</v>
      </c>
      <c r="N105" s="463">
        <v>1</v>
      </c>
      <c r="O105" s="244">
        <f t="shared" si="125"/>
        <v>3.1536000000000002E-2</v>
      </c>
      <c r="P105" s="459">
        <v>0.15</v>
      </c>
      <c r="Q105" s="245">
        <v>20</v>
      </c>
      <c r="R105" s="227">
        <v>1.05</v>
      </c>
      <c r="T105" s="268">
        <f t="shared" si="80"/>
        <v>8.0416799999999997E-2</v>
      </c>
      <c r="U105" s="268"/>
      <c r="V105" s="592" t="str">
        <f>'Data manipulation'!$B$29</f>
        <v>Solar thermal</v>
      </c>
      <c r="W105" s="254" t="s">
        <v>169</v>
      </c>
      <c r="X105" s="246">
        <v>2018</v>
      </c>
      <c r="Y105" s="433">
        <f>_xlfn.IFNA(INDEX('Data manipulation'!$C$23:$O$39,MATCH($V105,'Data manipulation'!$B$23:$B$39,0),MATCH($X105,'Data manipulation'!$C$22:$O$22,0))/1000,0)*SUMIFS('Regional split'!$F$4:$F$6,'Regional split'!$B$4:$B$6,Y$3)*SUMIFS('Data manipulation'!$V$39:$V$42,'Data manipulation'!$X$39:$X$42,$E105,'Data manipulation'!$Y$39:$Y$42,$D105)</f>
        <v>7.6249860000000003E-2</v>
      </c>
      <c r="Z105" s="270">
        <f>_xlfn.IFNA(INDEX('Data manipulation'!$C$23:$O$39,MATCH($V105,'Data manipulation'!$B$23:$B$39,0),MATCH($X105,'Data manipulation'!$C$22:$O$22,0))/1000,0)*SUMIFS('Regional split'!$F$4:$F$6,'Regional split'!$B$4:$B$6,Z$3)*SUMIFS('Data manipulation'!$V$39:$V$42,'Data manipulation'!$X$39:$X$42,$E105,'Data manipulation'!$Y$39:$Y$42,$D105)</f>
        <v>0</v>
      </c>
      <c r="AA105" s="455">
        <f>_xlfn.IFNA(INDEX('Data manipulation'!$C$23:$O$39,MATCH($V105,'Data manipulation'!$B$23:$B$39,0),MATCH($X105,'Data manipulation'!$C$22:$O$22,0))/1000,0)*SUMIFS('Regional split'!$F$4:$F$6,'Regional split'!$B$4:$B$6,AA$3)*SUMIFS('Data manipulation'!$V$39:$V$42,'Data manipulation'!$X$39:$X$42,$E105,'Data manipulation'!$Y$39:$Y$42,$D105)</f>
        <v>0</v>
      </c>
      <c r="AB105" s="444">
        <f t="shared" si="63"/>
        <v>7.6249860000000003E-2</v>
      </c>
      <c r="AC105" s="251">
        <f t="shared" si="64"/>
        <v>0</v>
      </c>
      <c r="AD105" s="445">
        <f t="shared" si="65"/>
        <v>0</v>
      </c>
      <c r="AU105" s="260"/>
      <c r="AZ105" s="252"/>
    </row>
    <row r="106" spans="2:52" ht="15" customHeight="1">
      <c r="B106" s="233" t="str">
        <f t="shared" ref="B106:G106" si="145">B66</f>
        <v>CHTRDELCHE1</v>
      </c>
      <c r="C106" s="233" t="str">
        <f t="shared" si="145"/>
        <v>Residential Heating Technology Rural Detached - Electricity Heating - Existing 1</v>
      </c>
      <c r="D106" s="233" t="str">
        <f t="shared" si="145"/>
        <v>Rural</v>
      </c>
      <c r="E106" s="233" t="str">
        <f t="shared" si="145"/>
        <v>Detached</v>
      </c>
      <c r="F106" s="233" t="str">
        <f t="shared" si="145"/>
        <v>COMELCH</v>
      </c>
      <c r="G106" s="233" t="str">
        <f t="shared" si="145"/>
        <v>COMHRDB</v>
      </c>
      <c r="H106" s="259">
        <v>2018</v>
      </c>
      <c r="I106" s="250">
        <f t="shared" si="138"/>
        <v>2742.1</v>
      </c>
      <c r="J106" s="250">
        <f t="shared" si="139"/>
        <v>0</v>
      </c>
      <c r="K106" s="250">
        <f t="shared" si="140"/>
        <v>0</v>
      </c>
      <c r="L106" s="463">
        <v>1</v>
      </c>
      <c r="M106" s="463">
        <v>1</v>
      </c>
      <c r="N106" s="463">
        <v>1</v>
      </c>
      <c r="O106" s="244">
        <f t="shared" si="125"/>
        <v>3.1536000000000002E-2</v>
      </c>
      <c r="P106" s="459">
        <v>0.15</v>
      </c>
      <c r="Q106" s="245">
        <v>30</v>
      </c>
      <c r="R106" s="227">
        <v>1.05</v>
      </c>
      <c r="T106" s="268">
        <f t="shared" si="80"/>
        <v>12.971229839999999</v>
      </c>
      <c r="U106" s="268"/>
      <c r="V106" s="592" t="str">
        <f>'Data manipulation'!$B$33</f>
        <v>Electricity</v>
      </c>
      <c r="W106" s="254" t="s">
        <v>170</v>
      </c>
      <c r="X106" s="246">
        <v>2018</v>
      </c>
      <c r="Y106" s="433">
        <f>_xlfn.IFNA(INDEX('Data manipulation'!$C$23:$O$39,MATCH($V106,'Data manipulation'!$B$23:$B$39,0),MATCH($X106,'Data manipulation'!$C$22:$O$22,0))/1000,0)*SUMIFS('Regional split'!$F$4:$F$6,'Regional split'!$B$4:$B$6,Y$3)*SUMIFS('Data manipulation'!$V$39:$V$42,'Data manipulation'!$X$39:$X$42,$E106,'Data manipulation'!$Y$39:$Y$42,$D106)</f>
        <v>12.353257434357088</v>
      </c>
      <c r="Z106" s="270">
        <f>_xlfn.IFNA(INDEX('Data manipulation'!$C$23:$O$39,MATCH($V106,'Data manipulation'!$B$23:$B$39,0),MATCH($X106,'Data manipulation'!$C$22:$O$22,0))/1000,0)*SUMIFS('Regional split'!$F$4:$F$6,'Regional split'!$B$4:$B$6,Z$3)*SUMIFS('Data manipulation'!$V$39:$V$42,'Data manipulation'!$X$39:$X$42,$E106,'Data manipulation'!$Y$39:$Y$42,$D106)</f>
        <v>0</v>
      </c>
      <c r="AA106" s="455">
        <f>_xlfn.IFNA(INDEX('Data manipulation'!$C$23:$O$39,MATCH($V106,'Data manipulation'!$B$23:$B$39,0),MATCH($X106,'Data manipulation'!$C$22:$O$22,0))/1000,0)*SUMIFS('Regional split'!$F$4:$F$6,'Regional split'!$B$4:$B$6,AA$3)*SUMIFS('Data manipulation'!$V$39:$V$42,'Data manipulation'!$X$39:$X$42,$E106,'Data manipulation'!$Y$39:$Y$42,$D106)</f>
        <v>0</v>
      </c>
      <c r="AB106" s="444">
        <f t="shared" si="63"/>
        <v>12.353257434357088</v>
      </c>
      <c r="AC106" s="251">
        <f t="shared" si="64"/>
        <v>0</v>
      </c>
      <c r="AD106" s="445">
        <f t="shared" si="65"/>
        <v>0</v>
      </c>
      <c r="AU106" s="260"/>
      <c r="AZ106" s="252"/>
    </row>
    <row r="107" spans="2:52" ht="15" customHeight="1">
      <c r="B107" s="233" t="str">
        <f t="shared" ref="B107:G107" si="146">B67</f>
        <v>CHTRDELCHE2</v>
      </c>
      <c r="C107" s="233" t="str">
        <f t="shared" si="146"/>
        <v>Residential Heating Technology Rural Detached - Electricity Heating - Existing 2</v>
      </c>
      <c r="D107" s="233" t="str">
        <f t="shared" si="146"/>
        <v>Rural</v>
      </c>
      <c r="E107" s="233" t="str">
        <f t="shared" si="146"/>
        <v>Detached</v>
      </c>
      <c r="F107" s="233" t="str">
        <f t="shared" si="146"/>
        <v>COMELCH</v>
      </c>
      <c r="G107" s="233" t="str">
        <f t="shared" si="146"/>
        <v>COMHRDB</v>
      </c>
      <c r="H107" s="259">
        <v>2018</v>
      </c>
      <c r="I107" s="250">
        <f t="shared" si="138"/>
        <v>746.4</v>
      </c>
      <c r="J107" s="250">
        <f t="shared" si="139"/>
        <v>0</v>
      </c>
      <c r="K107" s="250">
        <f t="shared" si="140"/>
        <v>0</v>
      </c>
      <c r="L107" s="463">
        <v>2.3149999999999999</v>
      </c>
      <c r="M107" s="463">
        <v>2.3149999999999999</v>
      </c>
      <c r="N107" s="463">
        <v>2.3149999999999999</v>
      </c>
      <c r="O107" s="244">
        <f t="shared" si="125"/>
        <v>3.1536000000000002E-2</v>
      </c>
      <c r="P107" s="459">
        <v>0.15</v>
      </c>
      <c r="Q107" s="245">
        <v>30</v>
      </c>
      <c r="R107" s="227">
        <v>1.05</v>
      </c>
      <c r="T107" s="268">
        <f t="shared" si="80"/>
        <v>1.52517086825054</v>
      </c>
      <c r="U107" s="268"/>
      <c r="V107" s="592" t="str">
        <f>'Data manipulation'!$B$30</f>
        <v>Ambient heat (heat pumps)</v>
      </c>
      <c r="W107" s="254" t="s">
        <v>171</v>
      </c>
      <c r="X107" s="246">
        <v>2018</v>
      </c>
      <c r="Y107" s="433">
        <f>_xlfn.IFNA(INDEX('Data manipulation'!$C$23:$O$39,MATCH($V107,'Data manipulation'!$B$23:$B$39,0),MATCH($X107,'Data manipulation'!$C$22:$O$22,0))/1000,0)*SUMIFS('Regional split'!$F$4:$F$6,'Regional split'!$B$4:$B$6,Y$3)*SUMIFS('Data manipulation'!$V$39:$V$42,'Data manipulation'!$X$39:$X$42,$E107,'Data manipulation'!$Y$39:$Y$42,$D107)</f>
        <v>1.4525383600000001</v>
      </c>
      <c r="Z107" s="270">
        <f>_xlfn.IFNA(INDEX('Data manipulation'!$C$23:$O$39,MATCH($V107,'Data manipulation'!$B$23:$B$39,0),MATCH($X107,'Data manipulation'!$C$22:$O$22,0))/1000,0)*SUMIFS('Regional split'!$F$4:$F$6,'Regional split'!$B$4:$B$6,Z$3)*SUMIFS('Data manipulation'!$V$39:$V$42,'Data manipulation'!$X$39:$X$42,$E107,'Data manipulation'!$Y$39:$Y$42,$D107)</f>
        <v>0</v>
      </c>
      <c r="AA107" s="455">
        <f>_xlfn.IFNA(INDEX('Data manipulation'!$C$23:$O$39,MATCH($V107,'Data manipulation'!$B$23:$B$39,0),MATCH($X107,'Data manipulation'!$C$22:$O$22,0))/1000,0)*SUMIFS('Regional split'!$F$4:$F$6,'Regional split'!$B$4:$B$6,AA$3)*SUMIFS('Data manipulation'!$V$39:$V$42,'Data manipulation'!$X$39:$X$42,$E107,'Data manipulation'!$Y$39:$Y$42,$D107)</f>
        <v>0</v>
      </c>
      <c r="AB107" s="444">
        <f t="shared" si="63"/>
        <v>3.3626263034000003</v>
      </c>
      <c r="AC107" s="251">
        <f t="shared" si="64"/>
        <v>0</v>
      </c>
      <c r="AD107" s="445">
        <f t="shared" si="65"/>
        <v>0</v>
      </c>
      <c r="AU107" s="260"/>
      <c r="AZ107" s="252"/>
    </row>
    <row r="108" spans="2:52" ht="15" customHeight="1">
      <c r="B108" s="233" t="str">
        <f t="shared" ref="B108:G108" si="147">B68</f>
        <v>CHTRDHCEE1</v>
      </c>
      <c r="C108" s="233" t="str">
        <f t="shared" si="147"/>
        <v>Residential Heating Technology Rural Detached - District heating Central - Existing 1</v>
      </c>
      <c r="D108" s="233" t="str">
        <f t="shared" si="147"/>
        <v>Rural</v>
      </c>
      <c r="E108" s="233" t="str">
        <f t="shared" si="147"/>
        <v>Detached</v>
      </c>
      <c r="F108" s="233" t="str">
        <f t="shared" si="147"/>
        <v>COMHDE</v>
      </c>
      <c r="G108" s="233" t="str">
        <f t="shared" si="147"/>
        <v>COMHRDB</v>
      </c>
      <c r="H108" s="261">
        <v>2018</v>
      </c>
      <c r="I108" s="568">
        <v>0</v>
      </c>
      <c r="J108" s="568">
        <v>0</v>
      </c>
      <c r="K108" s="568">
        <v>0</v>
      </c>
      <c r="L108" s="463">
        <v>0.98</v>
      </c>
      <c r="M108" s="463">
        <v>0.98</v>
      </c>
      <c r="N108" s="463">
        <v>0.98</v>
      </c>
      <c r="O108" s="244">
        <f t="shared" si="125"/>
        <v>3.1536000000000002E-2</v>
      </c>
      <c r="P108" s="459">
        <v>0.15</v>
      </c>
      <c r="Q108" s="245">
        <v>30</v>
      </c>
      <c r="R108" s="227">
        <v>1.05</v>
      </c>
      <c r="T108" s="268">
        <f t="shared" si="80"/>
        <v>0</v>
      </c>
      <c r="U108" s="268"/>
      <c r="V108" s="592" t="str">
        <f>'Data manipulation'!$B$34</f>
        <v>Heat</v>
      </c>
      <c r="W108" s="254" t="s">
        <v>172</v>
      </c>
      <c r="X108" s="246">
        <v>2018</v>
      </c>
      <c r="Y108" s="433">
        <f>_xlfn.IFNA(INDEX('Data manipulation'!$C$23:$O$39,MATCH($V108,'Data manipulation'!$B$23:$B$39,0),MATCH($X108,'Data manipulation'!$C$22:$O$22,0))/1000,0)*SUMIFS('Regional split'!$F$4:$F$6,'Regional split'!$B$4:$B$6,Y$3)*SUMIFS('Data manipulation'!$V$39:$V$42,'Data manipulation'!$X$39:$X$42,$E108,'Data manipulation'!$Y$39:$Y$42,$D108)</f>
        <v>22.228057703289672</v>
      </c>
      <c r="Z108" s="270">
        <f>_xlfn.IFNA(INDEX('Data manipulation'!$C$23:$O$39,MATCH($V108,'Data manipulation'!$B$23:$B$39,0),MATCH($X108,'Data manipulation'!$C$22:$O$22,0))/1000,0)*SUMIFS('Regional split'!$F$4:$F$6,'Regional split'!$B$4:$B$6,Z$3)*SUMIFS('Data manipulation'!$V$39:$V$42,'Data manipulation'!$X$39:$X$42,$E108,'Data manipulation'!$Y$39:$Y$42,$D108)</f>
        <v>0</v>
      </c>
      <c r="AA108" s="455">
        <f>_xlfn.IFNA(INDEX('Data manipulation'!$C$23:$O$39,MATCH($V108,'Data manipulation'!$B$23:$B$39,0),MATCH($X108,'Data manipulation'!$C$22:$O$22,0))/1000,0)*SUMIFS('Regional split'!$F$4:$F$6,'Regional split'!$B$4:$B$6,AA$3)*SUMIFS('Data manipulation'!$V$39:$V$42,'Data manipulation'!$X$39:$X$42,$E108,'Data manipulation'!$Y$39:$Y$42,$D108)</f>
        <v>0</v>
      </c>
      <c r="AB108" s="444">
        <f t="shared" si="63"/>
        <v>21.783496549223877</v>
      </c>
      <c r="AC108" s="251">
        <f t="shared" si="64"/>
        <v>0</v>
      </c>
      <c r="AD108" s="445">
        <f t="shared" si="65"/>
        <v>0</v>
      </c>
      <c r="AU108" s="260"/>
      <c r="AZ108" s="252"/>
    </row>
    <row r="109" spans="2:52" ht="15" customHeight="1" thickBot="1">
      <c r="B109" s="233" t="str">
        <f t="shared" ref="B109:G109" si="148">B69</f>
        <v>CHTRDLPGE1</v>
      </c>
      <c r="C109" s="233" t="str">
        <f t="shared" si="148"/>
        <v>Residential Heating Technology Rural Detached - LPG - Existing 1</v>
      </c>
      <c r="D109" s="233" t="str">
        <f t="shared" si="148"/>
        <v>Rural</v>
      </c>
      <c r="E109" s="233" t="str">
        <f t="shared" si="148"/>
        <v>Detached</v>
      </c>
      <c r="F109" s="233" t="str">
        <f t="shared" si="148"/>
        <v>COMLPG</v>
      </c>
      <c r="G109" s="233" t="str">
        <f t="shared" si="148"/>
        <v>COMHRDB</v>
      </c>
      <c r="H109" s="261">
        <v>2018</v>
      </c>
      <c r="I109" s="297">
        <f t="shared" ref="I109" si="149">ROUNDUP(AB109/($O109*$P109)*$R109,1)</f>
        <v>590.30000000000007</v>
      </c>
      <c r="J109" s="297">
        <f t="shared" ref="J109" si="150">ROUNDUP(AC109/($O109*$P109)*$R109,1)</f>
        <v>0</v>
      </c>
      <c r="K109" s="297">
        <f t="shared" ref="K109" si="151">ROUNDUP(AD109/($O109*$P109)*$R109,1)</f>
        <v>0</v>
      </c>
      <c r="L109" s="463">
        <v>0.98</v>
      </c>
      <c r="M109" s="463">
        <v>0.98</v>
      </c>
      <c r="N109" s="463">
        <v>0.98</v>
      </c>
      <c r="O109" s="244">
        <f t="shared" si="125"/>
        <v>3.1536000000000002E-2</v>
      </c>
      <c r="P109" s="459">
        <v>0.15</v>
      </c>
      <c r="Q109" s="245">
        <v>30</v>
      </c>
      <c r="R109" s="227">
        <v>1.05</v>
      </c>
      <c r="T109" s="268">
        <f t="shared" si="80"/>
        <v>2.8493419591836737</v>
      </c>
      <c r="U109" s="268"/>
      <c r="V109" s="593" t="str">
        <f>'Data manipulation'!$B$25</f>
        <v>Liquefied natural gas</v>
      </c>
      <c r="W109" s="428" t="s">
        <v>771</v>
      </c>
      <c r="X109" s="246">
        <v>2018</v>
      </c>
      <c r="Y109" s="434">
        <f>_xlfn.IFNA(INDEX('Data manipulation'!$C$23:$O$39,MATCH($V109,'Data manipulation'!$B$23:$B$39,0),MATCH($X109,'Data manipulation'!$C$22:$O$22,0))/1000,0)*SUMIFS('Regional split'!$F$4:$F$6,'Regional split'!$B$4:$B$6,Y$3)*SUMIFS('Data manipulation'!$V$39:$V$42,'Data manipulation'!$X$39:$X$42,$E109,'Data manipulation'!$Y$39:$Y$42,$D109)</f>
        <v>2.713602088</v>
      </c>
      <c r="Z109" s="431">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6">
        <f t="shared" si="63"/>
        <v>2.65933004624</v>
      </c>
      <c r="AC109" s="432">
        <f t="shared" si="64"/>
        <v>0</v>
      </c>
      <c r="AD109" s="453">
        <f t="shared" si="65"/>
        <v>0</v>
      </c>
      <c r="AU109" s="260"/>
      <c r="AZ109" s="252"/>
    </row>
    <row r="110" spans="2:52" ht="15" customHeight="1">
      <c r="B110" s="227" t="str">
        <f t="shared" ref="B110:E110" si="152">B70</f>
        <v>CHTUMNGAE1</v>
      </c>
      <c r="C110" s="227" t="str">
        <f t="shared" si="152"/>
        <v>Residential Heating Technology Urban Multi - Natural Gas - Existing 1</v>
      </c>
      <c r="D110" s="227" t="str">
        <f t="shared" si="152"/>
        <v>Urban</v>
      </c>
      <c r="E110" s="227" t="str">
        <f t="shared" si="152"/>
        <v>Multi storey</v>
      </c>
      <c r="F110" s="227" t="str">
        <f>F70</f>
        <v>COMNGA,COMSNG</v>
      </c>
      <c r="G110" s="227" t="str">
        <f>G70</f>
        <v>COMHUMB</v>
      </c>
      <c r="H110" s="230">
        <v>2018</v>
      </c>
      <c r="I110" s="250">
        <f>ROUNDUP(AB110/($O110*$P110)*$R110,1)</f>
        <v>16244</v>
      </c>
      <c r="J110" s="250">
        <f>ROUNDUP(AC110/($O110*$P110)*$R110,1)</f>
        <v>0</v>
      </c>
      <c r="K110" s="250">
        <f>ROUNDUP(AD110/($O110*$P110)*$R110,1)</f>
        <v>0</v>
      </c>
      <c r="L110" s="463">
        <v>0.72</v>
      </c>
      <c r="M110" s="463">
        <v>0.72</v>
      </c>
      <c r="N110" s="463">
        <v>0.72</v>
      </c>
      <c r="O110" s="244">
        <f>31.536/1000</f>
        <v>3.1536000000000002E-2</v>
      </c>
      <c r="P110" s="459">
        <v>0.15</v>
      </c>
      <c r="Q110" s="245">
        <v>22</v>
      </c>
      <c r="R110" s="227">
        <v>1.05</v>
      </c>
      <c r="T110" s="268">
        <f t="shared" si="80"/>
        <v>106.72308000000001</v>
      </c>
      <c r="U110" s="268"/>
      <c r="V110" s="592" t="str">
        <f>'Data manipulation'!$B$36</f>
        <v>Natural gas and biogas</v>
      </c>
      <c r="W110" s="246" t="s">
        <v>168</v>
      </c>
      <c r="X110" s="246">
        <v>2018</v>
      </c>
      <c r="Y110" s="433">
        <f>_xlfn.IFNA(INDEX('Data manipulation'!$C$23:$O$39,MATCH($V110,'Data manipulation'!$B$23:$B$39,0),MATCH($X110,'Data manipulation'!$C$22:$O$22,0))/1000,0)*SUMIFS('Regional split'!$F$4:$F$6,'Regional split'!$B$4:$B$6,Y$3)*SUMIFS('Data manipulation'!$V$39:$V$42,'Data manipulation'!$X$39:$X$42,$E110,'Data manipulation'!$Y$39:$Y$42,$D110)</f>
        <v>101.64040544127437</v>
      </c>
      <c r="Z110" s="270">
        <f>_xlfn.IFNA(INDEX('Data manipulation'!$C$23:$O$39,MATCH($V110,'Data manipulation'!$B$23:$B$39,0),MATCH($X110,'Data manipulation'!$C$22:$O$22,0))/1000,0)*SUMIFS('Regional split'!$F$4:$F$6,'Regional split'!$B$4:$B$6,Z$3)*SUMIFS('Data manipulation'!$V$39:$V$42,'Data manipulation'!$X$39:$X$42,$E110,'Data manipulation'!$Y$39:$Y$42,$D110)</f>
        <v>0</v>
      </c>
      <c r="AA110" s="455">
        <f>_xlfn.IFNA(INDEX('Data manipulation'!$C$23:$O$39,MATCH($V110,'Data manipulation'!$B$23:$B$39,0),MATCH($X110,'Data manipulation'!$C$22:$O$22,0))/1000,0)*SUMIFS('Regional split'!$F$4:$F$6,'Regional split'!$B$4:$B$6,AA$3)*SUMIFS('Data manipulation'!$V$39:$V$42,'Data manipulation'!$X$39:$X$42,$E110,'Data manipulation'!$Y$39:$Y$42,$D110)</f>
        <v>0</v>
      </c>
      <c r="AB110" s="444">
        <f t="shared" ref="AB110:AB189" si="153">Y110*L110</f>
        <v>73.181091917717538</v>
      </c>
      <c r="AC110" s="251">
        <f t="shared" ref="AC110:AC189" si="154">Z110*M110</f>
        <v>0</v>
      </c>
      <c r="AD110" s="445">
        <f t="shared" ref="AD110:AD189" si="155">AA110*N110</f>
        <v>0</v>
      </c>
      <c r="AE110" s="262"/>
      <c r="AU110" s="260"/>
      <c r="AZ110" s="252"/>
    </row>
    <row r="111" spans="2:52" ht="15" customHeight="1">
      <c r="B111" s="227" t="str">
        <f t="shared" ref="B111:G111" si="156">B71</f>
        <v>CHTUMDSLE1</v>
      </c>
      <c r="C111" s="227" t="str">
        <f t="shared" si="156"/>
        <v>Residential Heating Technology Urban Multi - Diesel - Existing 1</v>
      </c>
      <c r="D111" s="227" t="str">
        <f t="shared" si="156"/>
        <v>Urban</v>
      </c>
      <c r="E111" s="227" t="str">
        <f t="shared" si="156"/>
        <v>Multi storey</v>
      </c>
      <c r="F111" s="227" t="str">
        <f t="shared" si="156"/>
        <v>COMDSL,COMDSB</v>
      </c>
      <c r="G111" s="227" t="str">
        <f t="shared" si="156"/>
        <v>COMHUMB</v>
      </c>
      <c r="H111" s="230">
        <v>2018</v>
      </c>
      <c r="I111" s="250">
        <f t="shared" ref="I111:I118" si="157">ROUNDUP(AB111/($O111*$P111)*$R111,1)</f>
        <v>0</v>
      </c>
      <c r="J111" s="250">
        <f t="shared" ref="J111:J117" si="158">ROUNDUP(AC111/($O111*$P111)*$R111,1)</f>
        <v>0</v>
      </c>
      <c r="K111" s="250">
        <f t="shared" ref="K111:K117" si="159">ROUNDUP(AD111/($O111*$P111)*$R111,1)</f>
        <v>0</v>
      </c>
      <c r="L111" s="463">
        <v>0.71</v>
      </c>
      <c r="M111" s="463">
        <v>0.71</v>
      </c>
      <c r="N111" s="463">
        <v>0.71</v>
      </c>
      <c r="O111" s="244">
        <f>31.536/1000</f>
        <v>3.1536000000000002E-2</v>
      </c>
      <c r="P111" s="459">
        <v>0.15</v>
      </c>
      <c r="Q111" s="245">
        <v>20</v>
      </c>
      <c r="R111" s="227">
        <v>1.05</v>
      </c>
      <c r="T111" s="268">
        <f t="shared" si="80"/>
        <v>0</v>
      </c>
      <c r="V111" s="592" t="str">
        <f>'Data manipulation'!$B$35</f>
        <v>Oil products</v>
      </c>
      <c r="W111" s="254" t="s">
        <v>729</v>
      </c>
      <c r="X111" s="246">
        <v>2018</v>
      </c>
      <c r="Y111" s="433">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5">
        <f>_xlfn.IFNA(INDEX('Data manipulation'!$C$23:$O$39,MATCH($V111,'Data manipulation'!$B$23:$B$39,0),MATCH($X111,'Data manipulation'!$C$22:$O$22,0))/1000,0)*SUMIFS('Regional split'!$F$4:$F$6,'Regional split'!$B$4:$B$6,AA$3)*SUMIFS('Data manipulation'!$V$39:$V$42,'Data manipulation'!$X$39:$X$42,$E111,'Data manipulation'!$Y$39:$Y$42,$D111)</f>
        <v>0</v>
      </c>
      <c r="AB111" s="444">
        <f t="shared" si="153"/>
        <v>0</v>
      </c>
      <c r="AC111" s="251">
        <f t="shared" si="154"/>
        <v>0</v>
      </c>
      <c r="AD111" s="445">
        <f t="shared" si="155"/>
        <v>0</v>
      </c>
      <c r="AE111" s="262"/>
      <c r="AU111" s="260"/>
      <c r="AZ111" s="252"/>
    </row>
    <row r="112" spans="2:52" ht="15" customHeight="1">
      <c r="B112" s="227" t="str">
        <f t="shared" ref="B112:G112" si="160">B72</f>
        <v>CHTUMWPEE1</v>
      </c>
      <c r="C112" s="227" t="str">
        <f t="shared" si="160"/>
        <v>Residential Heating Technology Urban Multi - Wood pellets - Existing 1</v>
      </c>
      <c r="D112" s="227" t="str">
        <f t="shared" si="160"/>
        <v>Urban</v>
      </c>
      <c r="E112" s="227" t="str">
        <f t="shared" si="160"/>
        <v>Multi storey</v>
      </c>
      <c r="F112" s="227" t="str">
        <f t="shared" si="160"/>
        <v>COMWPE</v>
      </c>
      <c r="G112" s="227" t="str">
        <f t="shared" si="160"/>
        <v>COMHUMB</v>
      </c>
      <c r="H112" s="230">
        <v>2018</v>
      </c>
      <c r="I112" s="250">
        <f t="shared" si="157"/>
        <v>0</v>
      </c>
      <c r="J112" s="250">
        <f t="shared" si="158"/>
        <v>0</v>
      </c>
      <c r="K112" s="250">
        <f t="shared" si="159"/>
        <v>0</v>
      </c>
      <c r="L112" s="463">
        <v>0.61</v>
      </c>
      <c r="M112" s="463">
        <v>0.61</v>
      </c>
      <c r="N112" s="463">
        <v>0.61</v>
      </c>
      <c r="O112" s="244">
        <f t="shared" ref="O112:O129" si="161">31.536/1000</f>
        <v>3.1536000000000002E-2</v>
      </c>
      <c r="P112" s="459">
        <v>0.15</v>
      </c>
      <c r="Q112" s="245">
        <v>20</v>
      </c>
      <c r="R112" s="227">
        <v>1.05</v>
      </c>
      <c r="T112" s="268">
        <f t="shared" si="80"/>
        <v>0</v>
      </c>
      <c r="U112" s="268"/>
      <c r="W112" s="254" t="s">
        <v>866</v>
      </c>
      <c r="X112" s="246">
        <v>2018</v>
      </c>
      <c r="Y112" s="433">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5">
        <f>_xlfn.IFNA(INDEX('Data manipulation'!$C$23:$O$39,MATCH($V112,'Data manipulation'!$B$23:$B$39,0),MATCH($X112,'Data manipulation'!$C$22:$O$22,0))/1000,0)*SUMIFS('Regional split'!$F$4:$F$6,'Regional split'!$B$4:$B$6,AA$3)*SUMIFS('Data manipulation'!$V$39:$V$42,'Data manipulation'!$X$39:$X$42,$E112,'Data manipulation'!$Y$39:$Y$42,$D112)</f>
        <v>0</v>
      </c>
      <c r="AB112" s="444">
        <f t="shared" si="153"/>
        <v>0</v>
      </c>
      <c r="AC112" s="251">
        <f t="shared" si="154"/>
        <v>0</v>
      </c>
      <c r="AD112" s="445">
        <f t="shared" si="155"/>
        <v>0</v>
      </c>
      <c r="AE112" s="262"/>
      <c r="AU112" s="260"/>
      <c r="AZ112" s="252"/>
    </row>
    <row r="113" spans="2:52" ht="15" customHeight="1">
      <c r="B113" s="227" t="str">
        <f t="shared" ref="B113:G113" si="162">B73</f>
        <v>CHTUMFIWE1</v>
      </c>
      <c r="C113" s="227" t="str">
        <f t="shared" si="162"/>
        <v>Residential Heating Technology Urban Multi - Fire wood - Existing 1</v>
      </c>
      <c r="D113" s="227" t="str">
        <f t="shared" si="162"/>
        <v>Urban</v>
      </c>
      <c r="E113" s="227" t="str">
        <f t="shared" si="162"/>
        <v>Multi storey</v>
      </c>
      <c r="F113" s="227" t="str">
        <f t="shared" si="162"/>
        <v>COMFIW</v>
      </c>
      <c r="G113" s="227" t="str">
        <f t="shared" si="162"/>
        <v>COMHUMB</v>
      </c>
      <c r="H113" s="230">
        <v>2018</v>
      </c>
      <c r="I113" s="250">
        <f t="shared" si="157"/>
        <v>2153.6</v>
      </c>
      <c r="J113" s="250">
        <f t="shared" si="158"/>
        <v>0</v>
      </c>
      <c r="K113" s="250">
        <f t="shared" si="159"/>
        <v>0</v>
      </c>
      <c r="L113" s="463">
        <v>0.65000022993955098</v>
      </c>
      <c r="M113" s="463">
        <v>0.65000022993955098</v>
      </c>
      <c r="N113" s="463">
        <v>0.65000022993955098</v>
      </c>
      <c r="O113" s="244">
        <f t="shared" si="161"/>
        <v>3.1536000000000002E-2</v>
      </c>
      <c r="P113" s="459">
        <v>0.15</v>
      </c>
      <c r="Q113" s="245">
        <v>20</v>
      </c>
      <c r="R113" s="227">
        <v>1.05</v>
      </c>
      <c r="T113" s="268">
        <f t="shared" si="80"/>
        <v>15.672901286430946</v>
      </c>
      <c r="U113" s="268"/>
      <c r="V113" s="592" t="str">
        <f>'Data manipulation'!$B$31</f>
        <v>Primary solid biofuels</v>
      </c>
      <c r="W113" s="254" t="s">
        <v>177</v>
      </c>
      <c r="X113" s="246">
        <v>2018</v>
      </c>
      <c r="Y113" s="433">
        <f>_xlfn.IFNA(INDEX('Data manipulation'!$C$23:$O$39,MATCH($V113,'Data manipulation'!$B$23:$B$39,0),MATCH($X113,'Data manipulation'!$C$22:$O$22,0))/1000,0)*SUMIFS('Regional split'!$F$4:$F$6,'Regional split'!$B$4:$B$6,Y$3)*SUMIFS('Data manipulation'!$V$39:$V$42,'Data manipulation'!$X$39:$X$42,$E113,'Data manipulation'!$Y$39:$Y$42,$D113)</f>
        <v>14.925889288299832</v>
      </c>
      <c r="Z113" s="270">
        <f>_xlfn.IFNA(INDEX('Data manipulation'!$C$23:$O$39,MATCH($V113,'Data manipulation'!$B$23:$B$39,0),MATCH($X113,'Data manipulation'!$C$22:$O$22,0))/1000,0)*SUMIFS('Regional split'!$F$4:$F$6,'Regional split'!$B$4:$B$6,Z$3)*SUMIFS('Data manipulation'!$V$39:$V$42,'Data manipulation'!$X$39:$X$42,$E113,'Data manipulation'!$Y$39:$Y$42,$D113)</f>
        <v>0</v>
      </c>
      <c r="AA113" s="455">
        <f>_xlfn.IFNA(INDEX('Data manipulation'!$C$23:$O$39,MATCH($V113,'Data manipulation'!$B$23:$B$39,0),MATCH($X113,'Data manipulation'!$C$22:$O$22,0))/1000,0)*SUMIFS('Regional split'!$F$4:$F$6,'Regional split'!$B$4:$B$6,AA$3)*SUMIFS('Data manipulation'!$V$39:$V$42,'Data manipulation'!$X$39:$X$42,$E113,'Data manipulation'!$Y$39:$Y$42,$D113)</f>
        <v>0</v>
      </c>
      <c r="AB113" s="444">
        <f t="shared" si="153"/>
        <v>9.7018314694471712</v>
      </c>
      <c r="AC113" s="251">
        <f t="shared" si="154"/>
        <v>0</v>
      </c>
      <c r="AD113" s="445">
        <f t="shared" si="155"/>
        <v>0</v>
      </c>
      <c r="AE113" s="262"/>
      <c r="AU113" s="260"/>
      <c r="AZ113" s="252"/>
    </row>
    <row r="114" spans="2:52" ht="15" customHeight="1">
      <c r="B114" s="233" t="str">
        <f t="shared" ref="B114:G114" si="163">B74</f>
        <v>CHTUMCOAE1</v>
      </c>
      <c r="C114" s="233" t="str">
        <f t="shared" si="163"/>
        <v>Residential Heating Technology Urban Multi - Coal - Existing 1</v>
      </c>
      <c r="D114" s="233" t="str">
        <f t="shared" si="163"/>
        <v>Urban</v>
      </c>
      <c r="E114" s="233" t="str">
        <f t="shared" si="163"/>
        <v>Multi storey</v>
      </c>
      <c r="F114" s="233" t="str">
        <f t="shared" si="163"/>
        <v>COMCOA</v>
      </c>
      <c r="G114" s="233" t="str">
        <f t="shared" si="163"/>
        <v>COMHUMB</v>
      </c>
      <c r="H114" s="230">
        <v>2018</v>
      </c>
      <c r="I114" s="250">
        <f t="shared" si="157"/>
        <v>37.700000000000003</v>
      </c>
      <c r="J114" s="250">
        <f t="shared" si="158"/>
        <v>0</v>
      </c>
      <c r="K114" s="250">
        <f t="shared" si="159"/>
        <v>0</v>
      </c>
      <c r="L114" s="463">
        <v>0.7</v>
      </c>
      <c r="M114" s="463">
        <v>0.7</v>
      </c>
      <c r="N114" s="463">
        <v>0.7</v>
      </c>
      <c r="O114" s="244">
        <f t="shared" si="161"/>
        <v>3.1536000000000002E-2</v>
      </c>
      <c r="P114" s="459">
        <v>0.15</v>
      </c>
      <c r="Q114" s="245">
        <v>20</v>
      </c>
      <c r="R114" s="227">
        <v>1.05</v>
      </c>
      <c r="T114" s="268">
        <f t="shared" si="80"/>
        <v>0.2547658285714286</v>
      </c>
      <c r="U114" s="268"/>
      <c r="V114" s="592" t="str">
        <f>'Data manipulation'!$B$23</f>
        <v>Solid fossil fuels, peat, peat products, oil shale and oil sands</v>
      </c>
      <c r="W114" s="254" t="s">
        <v>863</v>
      </c>
      <c r="X114" s="246">
        <v>2018</v>
      </c>
      <c r="Y114" s="433">
        <f>_xlfn.IFNA(INDEX('Data manipulation'!$C$23:$O$39,MATCH($V114,'Data manipulation'!$B$23:$B$39,0),MATCH($X114,'Data manipulation'!$C$22:$O$22,0))/1000,0)*SUMIFS('Regional split'!$F$4:$F$6,'Regional split'!$B$4:$B$6,Y$3)*SUMIFS('Data manipulation'!$V$39:$V$42,'Data manipulation'!$X$39:$X$42,$E114,'Data manipulation'!$Y$39:$Y$42,$D114)</f>
        <v>0.242522087</v>
      </c>
      <c r="Z114" s="270">
        <f>_xlfn.IFNA(INDEX('Data manipulation'!$C$23:$O$39,MATCH($V114,'Data manipulation'!$B$23:$B$39,0),MATCH($X114,'Data manipulation'!$C$22:$O$22,0))/1000,0)*SUMIFS('Regional split'!$F$4:$F$6,'Regional split'!$B$4:$B$6,Z$3)*SUMIFS('Data manipulation'!$V$39:$V$42,'Data manipulation'!$X$39:$X$42,$E114,'Data manipulation'!$Y$39:$Y$42,$D114)</f>
        <v>0</v>
      </c>
      <c r="AA114" s="455">
        <f>_xlfn.IFNA(INDEX('Data manipulation'!$C$23:$O$39,MATCH($V114,'Data manipulation'!$B$23:$B$39,0),MATCH($X114,'Data manipulation'!$C$22:$O$22,0))/1000,0)*SUMIFS('Regional split'!$F$4:$F$6,'Regional split'!$B$4:$B$6,AA$3)*SUMIFS('Data manipulation'!$V$39:$V$42,'Data manipulation'!$X$39:$X$42,$E114,'Data manipulation'!$Y$39:$Y$42,$D114)</f>
        <v>0</v>
      </c>
      <c r="AB114" s="444">
        <f t="shared" si="153"/>
        <v>0.1697654609</v>
      </c>
      <c r="AC114" s="251">
        <f t="shared" si="154"/>
        <v>0</v>
      </c>
      <c r="AD114" s="445">
        <f t="shared" si="155"/>
        <v>0</v>
      </c>
      <c r="AE114" s="262"/>
      <c r="AU114" s="260"/>
      <c r="AZ114" s="252"/>
    </row>
    <row r="115" spans="2:52" ht="15" customHeight="1">
      <c r="B115" s="233" t="str">
        <f t="shared" ref="B115:G115" si="164">B75</f>
        <v>CHTUMSOLE1</v>
      </c>
      <c r="C115" s="233" t="str">
        <f t="shared" si="164"/>
        <v>Residential Heating Technology Urban Multi - Solar - Existing 1</v>
      </c>
      <c r="D115" s="233" t="str">
        <f t="shared" si="164"/>
        <v>Urban</v>
      </c>
      <c r="E115" s="233" t="str">
        <f t="shared" si="164"/>
        <v>Multi storey</v>
      </c>
      <c r="F115" s="233" t="str">
        <f t="shared" si="164"/>
        <v>COMSOL</v>
      </c>
      <c r="G115" s="233" t="str">
        <f t="shared" si="164"/>
        <v>COMHUMB</v>
      </c>
      <c r="H115" s="230">
        <v>2018</v>
      </c>
      <c r="I115" s="250">
        <f t="shared" si="157"/>
        <v>10.799999999999999</v>
      </c>
      <c r="J115" s="250">
        <f t="shared" si="158"/>
        <v>0</v>
      </c>
      <c r="K115" s="250">
        <f t="shared" si="159"/>
        <v>0</v>
      </c>
      <c r="L115" s="463">
        <v>1</v>
      </c>
      <c r="M115" s="463">
        <v>1</v>
      </c>
      <c r="N115" s="463">
        <v>1</v>
      </c>
      <c r="O115" s="244">
        <f t="shared" si="161"/>
        <v>3.1536000000000002E-2</v>
      </c>
      <c r="P115" s="459">
        <v>0.15</v>
      </c>
      <c r="Q115" s="245">
        <v>20</v>
      </c>
      <c r="R115" s="227">
        <v>1.05</v>
      </c>
      <c r="T115" s="268">
        <f t="shared" si="80"/>
        <v>5.1088319999999993E-2</v>
      </c>
      <c r="U115" s="268"/>
      <c r="V115" s="592" t="str">
        <f>'Data manipulation'!$B$29</f>
        <v>Solar thermal</v>
      </c>
      <c r="W115" s="254" t="s">
        <v>169</v>
      </c>
      <c r="X115" s="246">
        <v>2018</v>
      </c>
      <c r="Y115" s="433">
        <f>_xlfn.IFNA(INDEX('Data manipulation'!$C$23:$O$39,MATCH($V115,'Data manipulation'!$B$23:$B$39,0),MATCH($X115,'Data manipulation'!$C$22:$O$22,0))/1000,0)*SUMIFS('Regional split'!$F$4:$F$6,'Regional split'!$B$4:$B$6,Y$3)*SUMIFS('Data manipulation'!$V$39:$V$42,'Data manipulation'!$X$39:$X$42,$E115,'Data manipulation'!$Y$39:$Y$42,$D115)</f>
        <v>4.8443145000000007E-2</v>
      </c>
      <c r="Z115" s="270">
        <f>_xlfn.IFNA(INDEX('Data manipulation'!$C$23:$O$39,MATCH($V115,'Data manipulation'!$B$23:$B$39,0),MATCH($X115,'Data manipulation'!$C$22:$O$22,0))/1000,0)*SUMIFS('Regional split'!$F$4:$F$6,'Regional split'!$B$4:$B$6,Z$3)*SUMIFS('Data manipulation'!$V$39:$V$42,'Data manipulation'!$X$39:$X$42,$E115,'Data manipulation'!$Y$39:$Y$42,$D115)</f>
        <v>0</v>
      </c>
      <c r="AA115" s="455">
        <f>_xlfn.IFNA(INDEX('Data manipulation'!$C$23:$O$39,MATCH($V115,'Data manipulation'!$B$23:$B$39,0),MATCH($X115,'Data manipulation'!$C$22:$O$22,0))/1000,0)*SUMIFS('Regional split'!$F$4:$F$6,'Regional split'!$B$4:$B$6,AA$3)*SUMIFS('Data manipulation'!$V$39:$V$42,'Data manipulation'!$X$39:$X$42,$E115,'Data manipulation'!$Y$39:$Y$42,$D115)</f>
        <v>0</v>
      </c>
      <c r="AB115" s="444">
        <f t="shared" si="153"/>
        <v>4.8443145000000007E-2</v>
      </c>
      <c r="AC115" s="251">
        <f t="shared" si="154"/>
        <v>0</v>
      </c>
      <c r="AD115" s="445">
        <f t="shared" si="155"/>
        <v>0</v>
      </c>
      <c r="AE115" s="262"/>
      <c r="AU115" s="260"/>
      <c r="AZ115" s="252"/>
    </row>
    <row r="116" spans="2:52" ht="15" customHeight="1">
      <c r="B116" s="233" t="str">
        <f t="shared" ref="B116:G116" si="165">B76</f>
        <v>CHTUMELCHE1</v>
      </c>
      <c r="C116" s="233" t="str">
        <f t="shared" si="165"/>
        <v>Residential Heating Technology Urban Multi - Electricity Heating - Existing 1</v>
      </c>
      <c r="D116" s="233" t="str">
        <f t="shared" si="165"/>
        <v>Urban</v>
      </c>
      <c r="E116" s="233" t="str">
        <f t="shared" si="165"/>
        <v>Multi storey</v>
      </c>
      <c r="F116" s="233" t="str">
        <f t="shared" si="165"/>
        <v>COMELCH</v>
      </c>
      <c r="G116" s="233" t="str">
        <f t="shared" si="165"/>
        <v>COMHUMB</v>
      </c>
      <c r="H116" s="230">
        <v>2018</v>
      </c>
      <c r="I116" s="250">
        <f t="shared" si="157"/>
        <v>1742.1</v>
      </c>
      <c r="J116" s="250">
        <f t="shared" si="158"/>
        <v>0</v>
      </c>
      <c r="K116" s="250">
        <f t="shared" si="159"/>
        <v>0</v>
      </c>
      <c r="L116" s="463">
        <v>1</v>
      </c>
      <c r="M116" s="463">
        <v>1</v>
      </c>
      <c r="N116" s="463">
        <v>1</v>
      </c>
      <c r="O116" s="244">
        <f t="shared" si="161"/>
        <v>3.1536000000000002E-2</v>
      </c>
      <c r="P116" s="459">
        <v>0.15</v>
      </c>
      <c r="Q116" s="245">
        <v>30</v>
      </c>
      <c r="R116" s="227">
        <v>1.05</v>
      </c>
      <c r="T116" s="268">
        <f t="shared" si="80"/>
        <v>8.24082984</v>
      </c>
      <c r="U116" s="268"/>
      <c r="V116" s="592" t="str">
        <f>'Data manipulation'!$B$33</f>
        <v>Electricity</v>
      </c>
      <c r="W116" s="254" t="s">
        <v>170</v>
      </c>
      <c r="X116" s="246">
        <v>2018</v>
      </c>
      <c r="Y116" s="433">
        <f>_xlfn.IFNA(INDEX('Data manipulation'!$C$23:$O$39,MATCH($V116,'Data manipulation'!$B$23:$B$39,0),MATCH($X116,'Data manipulation'!$C$22:$O$22,0))/1000,0)*SUMIFS('Regional split'!$F$4:$F$6,'Regional split'!$B$4:$B$6,Y$3)*SUMIFS('Data manipulation'!$V$39:$V$42,'Data manipulation'!$X$39:$X$42,$E116,'Data manipulation'!$Y$39:$Y$42,$D116)</f>
        <v>7.8482851131121869</v>
      </c>
      <c r="Z116" s="270">
        <f>_xlfn.IFNA(INDEX('Data manipulation'!$C$23:$O$39,MATCH($V116,'Data manipulation'!$B$23:$B$39,0),MATCH($X116,'Data manipulation'!$C$22:$O$22,0))/1000,0)*SUMIFS('Regional split'!$F$4:$F$6,'Regional split'!$B$4:$B$6,Z$3)*SUMIFS('Data manipulation'!$V$39:$V$42,'Data manipulation'!$X$39:$X$42,$E116,'Data manipulation'!$Y$39:$Y$42,$D116)</f>
        <v>0</v>
      </c>
      <c r="AA116" s="455">
        <f>_xlfn.IFNA(INDEX('Data manipulation'!$C$23:$O$39,MATCH($V116,'Data manipulation'!$B$23:$B$39,0),MATCH($X116,'Data manipulation'!$C$22:$O$22,0))/1000,0)*SUMIFS('Regional split'!$F$4:$F$6,'Regional split'!$B$4:$B$6,AA$3)*SUMIFS('Data manipulation'!$V$39:$V$42,'Data manipulation'!$X$39:$X$42,$E116,'Data manipulation'!$Y$39:$Y$42,$D116)</f>
        <v>0</v>
      </c>
      <c r="AB116" s="444">
        <f t="shared" si="153"/>
        <v>7.8482851131121869</v>
      </c>
      <c r="AC116" s="251">
        <f t="shared" si="154"/>
        <v>0</v>
      </c>
      <c r="AD116" s="445">
        <f t="shared" si="155"/>
        <v>0</v>
      </c>
      <c r="AU116" s="260"/>
      <c r="AZ116" s="252"/>
    </row>
    <row r="117" spans="2:52" ht="15" customHeight="1">
      <c r="B117" s="233" t="str">
        <f t="shared" ref="B117:G117" si="166">B77</f>
        <v>CHTUMELCHE2</v>
      </c>
      <c r="C117" s="233" t="str">
        <f t="shared" si="166"/>
        <v>Residential Heating Technology Urban Multi - Electricity Heating - Existing 2</v>
      </c>
      <c r="D117" s="233" t="str">
        <f t="shared" si="166"/>
        <v>Urban</v>
      </c>
      <c r="E117" s="233" t="str">
        <f t="shared" si="166"/>
        <v>Multi storey</v>
      </c>
      <c r="F117" s="233" t="str">
        <f t="shared" si="166"/>
        <v>COMELCH</v>
      </c>
      <c r="G117" s="233" t="str">
        <f t="shared" si="166"/>
        <v>COMHUMB</v>
      </c>
      <c r="H117" s="230">
        <v>2018</v>
      </c>
      <c r="I117" s="250">
        <f t="shared" si="157"/>
        <v>474.3</v>
      </c>
      <c r="J117" s="250">
        <f t="shared" si="158"/>
        <v>0</v>
      </c>
      <c r="K117" s="250">
        <f t="shared" si="159"/>
        <v>0</v>
      </c>
      <c r="L117" s="463">
        <v>2.3149999999999999</v>
      </c>
      <c r="M117" s="463">
        <v>2.3149999999999999</v>
      </c>
      <c r="N117" s="463">
        <v>2.3149999999999999</v>
      </c>
      <c r="O117" s="244">
        <f t="shared" si="161"/>
        <v>3.1536000000000002E-2</v>
      </c>
      <c r="P117" s="459">
        <v>0.15</v>
      </c>
      <c r="Q117" s="245">
        <v>30</v>
      </c>
      <c r="R117" s="227">
        <v>1.05</v>
      </c>
      <c r="T117" s="268">
        <f t="shared" si="80"/>
        <v>0.96917007343412542</v>
      </c>
      <c r="U117" s="268"/>
      <c r="V117" s="592" t="str">
        <f>'Data manipulation'!$B$30</f>
        <v>Ambient heat (heat pumps)</v>
      </c>
      <c r="W117" s="254" t="s">
        <v>171</v>
      </c>
      <c r="X117" s="246">
        <v>2018</v>
      </c>
      <c r="Y117" s="433">
        <f>_xlfn.IFNA(INDEX('Data manipulation'!$C$23:$O$39,MATCH($V117,'Data manipulation'!$B$23:$B$39,0),MATCH($X117,'Data manipulation'!$C$22:$O$22,0))/1000,0)*SUMIFS('Regional split'!$F$4:$F$6,'Regional split'!$B$4:$B$6,Y$3)*SUMIFS('Data manipulation'!$V$39:$V$42,'Data manipulation'!$X$39:$X$42,$E117,'Data manipulation'!$Y$39:$Y$42,$D117)</f>
        <v>0.92282827000000012</v>
      </c>
      <c r="Z117" s="270">
        <f>_xlfn.IFNA(INDEX('Data manipulation'!$C$23:$O$39,MATCH($V117,'Data manipulation'!$B$23:$B$39,0),MATCH($X117,'Data manipulation'!$C$22:$O$22,0))/1000,0)*SUMIFS('Regional split'!$F$4:$F$6,'Regional split'!$B$4:$B$6,Z$3)*SUMIFS('Data manipulation'!$V$39:$V$42,'Data manipulation'!$X$39:$X$42,$E117,'Data manipulation'!$Y$39:$Y$42,$D117)</f>
        <v>0</v>
      </c>
      <c r="AA117" s="455">
        <f>_xlfn.IFNA(INDEX('Data manipulation'!$C$23:$O$39,MATCH($V117,'Data manipulation'!$B$23:$B$39,0),MATCH($X117,'Data manipulation'!$C$22:$O$22,0))/1000,0)*SUMIFS('Regional split'!$F$4:$F$6,'Regional split'!$B$4:$B$6,AA$3)*SUMIFS('Data manipulation'!$V$39:$V$42,'Data manipulation'!$X$39:$X$42,$E117,'Data manipulation'!$Y$39:$Y$42,$D117)</f>
        <v>0</v>
      </c>
      <c r="AB117" s="444">
        <f t="shared" si="153"/>
        <v>2.1363474450500002</v>
      </c>
      <c r="AC117" s="251">
        <f t="shared" si="154"/>
        <v>0</v>
      </c>
      <c r="AD117" s="445">
        <f t="shared" si="155"/>
        <v>0</v>
      </c>
      <c r="AU117" s="260"/>
      <c r="AZ117" s="252"/>
    </row>
    <row r="118" spans="2:52" ht="15" customHeight="1">
      <c r="B118" s="233" t="str">
        <f t="shared" ref="B118:G118" si="167">B78</f>
        <v>CHTUMHCEE1</v>
      </c>
      <c r="C118" s="233" t="str">
        <f t="shared" si="167"/>
        <v>Residential Heating Technology Urban Multi - District heating Central - Existing 1</v>
      </c>
      <c r="D118" s="233" t="str">
        <f t="shared" si="167"/>
        <v>Urban</v>
      </c>
      <c r="E118" s="233" t="str">
        <f t="shared" si="167"/>
        <v>Multi storey</v>
      </c>
      <c r="F118" s="233" t="str">
        <f t="shared" si="167"/>
        <v>COMHCE</v>
      </c>
      <c r="G118" s="233" t="str">
        <f t="shared" si="167"/>
        <v>COMHUMX</v>
      </c>
      <c r="H118" s="230">
        <v>2018</v>
      </c>
      <c r="I118" s="250">
        <f t="shared" si="157"/>
        <v>2977.9</v>
      </c>
      <c r="J118" s="568">
        <v>0</v>
      </c>
      <c r="K118" s="568">
        <v>0</v>
      </c>
      <c r="L118" s="463">
        <v>0.95</v>
      </c>
      <c r="M118" s="463">
        <v>0.95</v>
      </c>
      <c r="N118" s="463">
        <v>0.95</v>
      </c>
      <c r="O118" s="244">
        <f t="shared" si="161"/>
        <v>3.1536000000000002E-2</v>
      </c>
      <c r="P118" s="459">
        <v>0.15</v>
      </c>
      <c r="Q118" s="245">
        <v>30</v>
      </c>
      <c r="R118" s="227">
        <v>1.05</v>
      </c>
      <c r="T118" s="268">
        <f t="shared" si="80"/>
        <v>14.828061221052632</v>
      </c>
      <c r="U118" s="268"/>
      <c r="V118" s="592" t="str">
        <f>'Data manipulation'!$B$34</f>
        <v>Heat</v>
      </c>
      <c r="W118" s="254" t="s">
        <v>172</v>
      </c>
      <c r="X118" s="246">
        <v>2018</v>
      </c>
      <c r="Y118" s="433">
        <f>_xlfn.IFNA(INDEX('Data manipulation'!$C$23:$O$39,MATCH($V118,'Data manipulation'!$B$23:$B$39,0),MATCH($X118,'Data manipulation'!$C$22:$O$22,0))/1000,0)*SUMIFS('Regional split'!$F$4:$F$6,'Regional split'!$B$4:$B$6,Y$3)*SUMIFS('Data manipulation'!$V$39:$V$42,'Data manipulation'!$X$39:$X$42,$E118,'Data manipulation'!$Y$39:$Y$42,$D118)</f>
        <v>14.121954091310181</v>
      </c>
      <c r="Z118" s="270">
        <f>_xlfn.IFNA(INDEX('Data manipulation'!$C$23:$O$39,MATCH($V118,'Data manipulation'!$B$23:$B$39,0),MATCH($X118,'Data manipulation'!$C$22:$O$22,0))/1000,0)*SUMIFS('Regional split'!$F$4:$F$6,'Regional split'!$B$4:$B$6,Z$3)*SUMIFS('Data manipulation'!$V$39:$V$42,'Data manipulation'!$X$39:$X$42,$E118,'Data manipulation'!$Y$39:$Y$42,$D118)</f>
        <v>0</v>
      </c>
      <c r="AA118" s="455">
        <f>_xlfn.IFNA(INDEX('Data manipulation'!$C$23:$O$39,MATCH($V118,'Data manipulation'!$B$23:$B$39,0),MATCH($X118,'Data manipulation'!$C$22:$O$22,0))/1000,0)*SUMIFS('Regional split'!$F$4:$F$6,'Regional split'!$B$4:$B$6,AA$3)*SUMIFS('Data manipulation'!$V$39:$V$42,'Data manipulation'!$X$39:$X$42,$E118,'Data manipulation'!$Y$39:$Y$42,$D118)</f>
        <v>0</v>
      </c>
      <c r="AB118" s="444">
        <f t="shared" si="153"/>
        <v>13.415856386744672</v>
      </c>
      <c r="AC118" s="251">
        <f t="shared" si="154"/>
        <v>0</v>
      </c>
      <c r="AD118" s="445">
        <f t="shared" si="155"/>
        <v>0</v>
      </c>
      <c r="AU118" s="260"/>
      <c r="AZ118" s="252"/>
    </row>
    <row r="119" spans="2:52" ht="15" customHeight="1" thickBot="1">
      <c r="B119" s="255" t="str">
        <f t="shared" ref="B119:G119" si="168">B79</f>
        <v>CHTUMLPGE1</v>
      </c>
      <c r="C119" s="255" t="str">
        <f t="shared" si="168"/>
        <v>Residential Heating Technology Urban Multi - LPG - Existing 1</v>
      </c>
      <c r="D119" s="531" t="str">
        <f t="shared" si="168"/>
        <v>Urban</v>
      </c>
      <c r="E119" s="531" t="str">
        <f t="shared" si="168"/>
        <v>Multi storey</v>
      </c>
      <c r="F119" s="255" t="str">
        <f t="shared" si="168"/>
        <v>COMLPG</v>
      </c>
      <c r="G119" s="255" t="str">
        <f t="shared" si="168"/>
        <v>COMHUMB</v>
      </c>
      <c r="H119" s="423">
        <v>2018</v>
      </c>
      <c r="I119" s="297">
        <f t="shared" ref="I119" si="169">ROUNDUP(AB119/($O119*$P119)*$R119,1)</f>
        <v>363.6</v>
      </c>
      <c r="J119" s="297">
        <f t="shared" ref="J119" si="170">ROUNDUP(AC119/($O119*$P119)*$R119,1)</f>
        <v>0</v>
      </c>
      <c r="K119" s="297">
        <f t="shared" ref="K119" si="171">ROUNDUP(AD119/($O119*$P119)*$R119,1)</f>
        <v>0</v>
      </c>
      <c r="L119" s="464">
        <v>0.95</v>
      </c>
      <c r="M119" s="464">
        <v>0.95</v>
      </c>
      <c r="N119" s="464">
        <v>0.95</v>
      </c>
      <c r="O119" s="257">
        <f t="shared" si="161"/>
        <v>3.1536000000000002E-2</v>
      </c>
      <c r="P119" s="460">
        <v>0.15</v>
      </c>
      <c r="Q119" s="258">
        <v>30</v>
      </c>
      <c r="R119" s="227">
        <v>1.05</v>
      </c>
      <c r="T119" s="268">
        <f t="shared" si="80"/>
        <v>1.8104983578947371</v>
      </c>
      <c r="U119" s="268"/>
      <c r="V119" s="593" t="str">
        <f>'Data manipulation'!$B$25</f>
        <v>Liquefied natural gas</v>
      </c>
      <c r="W119" s="428" t="s">
        <v>771</v>
      </c>
      <c r="X119" s="246">
        <v>2018</v>
      </c>
      <c r="Y119" s="434">
        <f>_xlfn.IFNA(INDEX('Data manipulation'!$C$23:$O$39,MATCH($V119,'Data manipulation'!$B$23:$B$39,0),MATCH($X119,'Data manipulation'!$C$22:$O$22,0))/1000,0)*SUMIFS('Regional split'!$F$4:$F$6,'Regional split'!$B$4:$B$6,Y$3)*SUMIFS('Data manipulation'!$V$39:$V$42,'Data manipulation'!$X$39:$X$42,$E119,'Data manipulation'!$Y$39:$Y$42,$D119)</f>
        <v>1.724008666</v>
      </c>
      <c r="Z119" s="431">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51">
        <f t="shared" si="153"/>
        <v>1.6378082326999999</v>
      </c>
      <c r="AC119" s="277">
        <f t="shared" si="154"/>
        <v>0</v>
      </c>
      <c r="AD119" s="447">
        <f t="shared" si="155"/>
        <v>0</v>
      </c>
      <c r="AU119" s="260"/>
      <c r="AZ119" s="252"/>
    </row>
    <row r="120" spans="2:52" ht="15" customHeight="1">
      <c r="B120" s="233" t="str">
        <f t="shared" ref="B120:G120" si="172">B80</f>
        <v>CHTRMNGAE1</v>
      </c>
      <c r="C120" s="233" t="str">
        <f t="shared" si="172"/>
        <v>Residential Heating Technology Rural Multi - Natural Gas - Existing 1</v>
      </c>
      <c r="D120" s="233" t="str">
        <f t="shared" si="172"/>
        <v>Rural</v>
      </c>
      <c r="E120" s="233" t="str">
        <f t="shared" si="172"/>
        <v>Multi storey</v>
      </c>
      <c r="F120" s="233" t="str">
        <f t="shared" si="172"/>
        <v>COMNGA,COMSNG</v>
      </c>
      <c r="G120" s="233" t="str">
        <f t="shared" si="172"/>
        <v>COMHRMB</v>
      </c>
      <c r="H120" s="259">
        <v>2018</v>
      </c>
      <c r="I120" s="250">
        <f>ROUNDUP(AB120/($O120*$P120)*$R120,1)</f>
        <v>1222.5999999999999</v>
      </c>
      <c r="J120" s="250">
        <f>ROUNDUP(AC120/($O120*$P120)*$R120,1)</f>
        <v>0</v>
      </c>
      <c r="K120" s="250">
        <f>ROUNDUP(AD120/($O120*$P120)*$R120,1)</f>
        <v>0</v>
      </c>
      <c r="L120" s="463">
        <v>0.79</v>
      </c>
      <c r="M120" s="463">
        <v>0.79</v>
      </c>
      <c r="N120" s="463">
        <v>0.79</v>
      </c>
      <c r="O120" s="244">
        <f t="shared" si="161"/>
        <v>3.1536000000000002E-2</v>
      </c>
      <c r="P120" s="459">
        <v>0.15</v>
      </c>
      <c r="Q120" s="245">
        <v>25</v>
      </c>
      <c r="R120" s="227">
        <v>1.05</v>
      </c>
      <c r="T120" s="268">
        <f t="shared" si="80"/>
        <v>7.3207430886075935</v>
      </c>
      <c r="U120" s="268"/>
      <c r="V120" s="592" t="str">
        <f>'Data manipulation'!$B$36</f>
        <v>Natural gas and biogas</v>
      </c>
      <c r="W120" s="246" t="s">
        <v>168</v>
      </c>
      <c r="X120" s="246">
        <v>2018</v>
      </c>
      <c r="Y120" s="433">
        <f>_xlfn.IFNA(INDEX('Data manipulation'!$C$23:$O$39,MATCH($V120,'Data manipulation'!$B$23:$B$39,0),MATCH($X120,'Data manipulation'!$C$22:$O$22,0))/1000,0)*SUMIFS('Regional split'!$F$4:$F$6,'Regional split'!$B$4:$B$6,Y$3)*SUMIFS('Data manipulation'!$V$39:$V$42,'Data manipulation'!$X$39:$X$42,$E120,'Data manipulation'!$Y$39:$Y$42,$D120)</f>
        <v>6.9717245609538363</v>
      </c>
      <c r="Z120" s="270">
        <f>_xlfn.IFNA(INDEX('Data manipulation'!$C$23:$O$39,MATCH($V120,'Data manipulation'!$B$23:$B$39,0),MATCH($X120,'Data manipulation'!$C$22:$O$22,0))/1000,0)*SUMIFS('Regional split'!$F$4:$F$6,'Regional split'!$B$4:$B$6,Z$3)*SUMIFS('Data manipulation'!$V$39:$V$42,'Data manipulation'!$X$39:$X$42,$E120,'Data manipulation'!$Y$39:$Y$42,$D120)</f>
        <v>0</v>
      </c>
      <c r="AA120" s="455">
        <f>_xlfn.IFNA(INDEX('Data manipulation'!$C$23:$O$39,MATCH($V120,'Data manipulation'!$B$23:$B$39,0),MATCH($X120,'Data manipulation'!$C$22:$O$22,0))/1000,0)*SUMIFS('Regional split'!$F$4:$F$6,'Regional split'!$B$4:$B$6,AA$3)*SUMIFS('Data manipulation'!$V$39:$V$42,'Data manipulation'!$X$39:$X$42,$E120,'Data manipulation'!$Y$39:$Y$42,$D120)</f>
        <v>0</v>
      </c>
      <c r="AB120" s="452">
        <f t="shared" si="153"/>
        <v>5.5076624031535308</v>
      </c>
      <c r="AC120" s="278">
        <f t="shared" si="154"/>
        <v>0</v>
      </c>
      <c r="AD120" s="448">
        <f t="shared" si="155"/>
        <v>0</v>
      </c>
      <c r="AU120" s="260"/>
      <c r="AZ120" s="252"/>
    </row>
    <row r="121" spans="2:52" ht="15" customHeight="1">
      <c r="B121" s="233" t="str">
        <f t="shared" ref="B121:G121" si="173">B81</f>
        <v>CHTRMDSLE1</v>
      </c>
      <c r="C121" s="233" t="str">
        <f t="shared" si="173"/>
        <v>Residential Heating Technology Rural Multi - Diesel - Existing 1</v>
      </c>
      <c r="D121" s="233" t="str">
        <f t="shared" si="173"/>
        <v>Rural</v>
      </c>
      <c r="E121" s="233" t="str">
        <f t="shared" si="173"/>
        <v>Multi storey</v>
      </c>
      <c r="F121" s="233" t="str">
        <f t="shared" si="173"/>
        <v>COMDSL,COMDSB</v>
      </c>
      <c r="G121" s="233" t="str">
        <f t="shared" si="173"/>
        <v>COMHRMB</v>
      </c>
      <c r="H121" s="259">
        <v>2018</v>
      </c>
      <c r="I121" s="250">
        <f t="shared" ref="I121:I127" si="174">ROUNDUP(AB121/($O121*$P121)*$R121,1)</f>
        <v>0</v>
      </c>
      <c r="J121" s="250">
        <f t="shared" ref="J121:J127" si="175">ROUNDUP(AC121/($O121*$P121)*$R121,1)</f>
        <v>0</v>
      </c>
      <c r="K121" s="250">
        <f t="shared" ref="K121:K127" si="176">ROUNDUP(AD121/($O121*$P121)*$R121,1)</f>
        <v>0</v>
      </c>
      <c r="L121" s="463">
        <v>0.79</v>
      </c>
      <c r="M121" s="463">
        <v>0.79</v>
      </c>
      <c r="N121" s="463">
        <v>0.79</v>
      </c>
      <c r="O121" s="244">
        <f t="shared" si="161"/>
        <v>3.1536000000000002E-2</v>
      </c>
      <c r="P121" s="459">
        <v>0.15</v>
      </c>
      <c r="Q121" s="245">
        <v>20</v>
      </c>
      <c r="R121" s="227">
        <v>1.05</v>
      </c>
      <c r="T121" s="268">
        <f t="shared" si="80"/>
        <v>0</v>
      </c>
      <c r="V121" s="592" t="str">
        <f>'Data manipulation'!$B$35</f>
        <v>Oil products</v>
      </c>
      <c r="W121" s="254" t="s">
        <v>729</v>
      </c>
      <c r="X121" s="246">
        <v>2018</v>
      </c>
      <c r="Y121" s="433">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5">
        <f>_xlfn.IFNA(INDEX('Data manipulation'!$C$23:$O$39,MATCH($V121,'Data manipulation'!$B$23:$B$39,0),MATCH($X121,'Data manipulation'!$C$22:$O$22,0))/1000,0)*SUMIFS('Regional split'!$F$4:$F$6,'Regional split'!$B$4:$B$6,AA$3)*SUMIFS('Data manipulation'!$V$39:$V$42,'Data manipulation'!$X$39:$X$42,$E121,'Data manipulation'!$Y$39:$Y$42,$D121)</f>
        <v>0</v>
      </c>
      <c r="AB121" s="444">
        <f t="shared" si="153"/>
        <v>0</v>
      </c>
      <c r="AC121" s="251">
        <f t="shared" si="154"/>
        <v>0</v>
      </c>
      <c r="AD121" s="445">
        <f t="shared" si="155"/>
        <v>0</v>
      </c>
      <c r="AU121" s="260"/>
      <c r="AZ121" s="252"/>
    </row>
    <row r="122" spans="2:52" ht="15" customHeight="1">
      <c r="B122" s="233" t="str">
        <f t="shared" ref="B122:G122" si="177">B82</f>
        <v>CHTRMWPEE1</v>
      </c>
      <c r="C122" s="233" t="str">
        <f t="shared" si="177"/>
        <v>Residential Heating Technology Rural Multi - Wood pellets - Existing 1</v>
      </c>
      <c r="D122" s="233" t="str">
        <f t="shared" si="177"/>
        <v>Rural</v>
      </c>
      <c r="E122" s="233" t="str">
        <f t="shared" si="177"/>
        <v>Multi storey</v>
      </c>
      <c r="F122" s="233" t="str">
        <f t="shared" si="177"/>
        <v>COMWPE</v>
      </c>
      <c r="G122" s="233" t="str">
        <f t="shared" si="177"/>
        <v>COMHRMB</v>
      </c>
      <c r="H122" s="259">
        <v>2018</v>
      </c>
      <c r="I122" s="250">
        <f t="shared" si="174"/>
        <v>0</v>
      </c>
      <c r="J122" s="250">
        <f t="shared" si="175"/>
        <v>0</v>
      </c>
      <c r="K122" s="250">
        <f t="shared" si="176"/>
        <v>0</v>
      </c>
      <c r="L122" s="463">
        <v>0.67</v>
      </c>
      <c r="M122" s="463">
        <v>0.67</v>
      </c>
      <c r="N122" s="463">
        <v>0.67</v>
      </c>
      <c r="O122" s="244">
        <f>31.536/1000</f>
        <v>3.1536000000000002E-2</v>
      </c>
      <c r="P122" s="459">
        <v>0.15</v>
      </c>
      <c r="Q122" s="245">
        <v>20</v>
      </c>
      <c r="R122" s="227">
        <v>1.05</v>
      </c>
      <c r="T122" s="268">
        <f t="shared" si="80"/>
        <v>0</v>
      </c>
      <c r="U122" s="268"/>
      <c r="W122" s="254" t="s">
        <v>866</v>
      </c>
      <c r="X122" s="246">
        <v>2018</v>
      </c>
      <c r="Y122" s="433">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5">
        <f>_xlfn.IFNA(INDEX('Data manipulation'!$C$23:$O$39,MATCH($V122,'Data manipulation'!$B$23:$B$39,0),MATCH($X122,'Data manipulation'!$C$22:$O$22,0))/1000,0)*SUMIFS('Regional split'!$F$4:$F$6,'Regional split'!$B$4:$B$6,AA$3)*SUMIFS('Data manipulation'!$V$39:$V$42,'Data manipulation'!$X$39:$X$42,$E122,'Data manipulation'!$Y$39:$Y$42,$D122)</f>
        <v>0</v>
      </c>
      <c r="AB122" s="444">
        <f t="shared" si="153"/>
        <v>0</v>
      </c>
      <c r="AC122" s="251">
        <f t="shared" si="154"/>
        <v>0</v>
      </c>
      <c r="AD122" s="445">
        <f t="shared" si="155"/>
        <v>0</v>
      </c>
      <c r="AU122" s="260"/>
      <c r="AZ122" s="252"/>
    </row>
    <row r="123" spans="2:52" ht="15" customHeight="1">
      <c r="B123" s="233" t="str">
        <f t="shared" ref="B123:G123" si="178">B83</f>
        <v>CHTRMFIWE1</v>
      </c>
      <c r="C123" s="233" t="str">
        <f t="shared" si="178"/>
        <v>Residential Heating Technology Rural Multi - Fire wood - Existing 1</v>
      </c>
      <c r="D123" s="233" t="str">
        <f t="shared" si="178"/>
        <v>Rural</v>
      </c>
      <c r="E123" s="233" t="str">
        <f t="shared" si="178"/>
        <v>Multi storey</v>
      </c>
      <c r="F123" s="233" t="str">
        <f t="shared" si="178"/>
        <v>COMFIW</v>
      </c>
      <c r="G123" s="233" t="str">
        <f t="shared" si="178"/>
        <v>COMHRMB</v>
      </c>
      <c r="H123" s="259">
        <v>2018</v>
      </c>
      <c r="I123" s="250">
        <f t="shared" si="174"/>
        <v>152.29999999999998</v>
      </c>
      <c r="J123" s="250">
        <f t="shared" si="175"/>
        <v>0</v>
      </c>
      <c r="K123" s="250">
        <f t="shared" si="176"/>
        <v>0</v>
      </c>
      <c r="L123" s="463">
        <v>0.67</v>
      </c>
      <c r="M123" s="463">
        <v>0.67</v>
      </c>
      <c r="N123" s="463">
        <v>0.67</v>
      </c>
      <c r="O123" s="244">
        <f>31.536/1000</f>
        <v>3.1536000000000002E-2</v>
      </c>
      <c r="P123" s="459">
        <v>0.15</v>
      </c>
      <c r="Q123" s="245">
        <v>20</v>
      </c>
      <c r="R123" s="227">
        <v>1.05</v>
      </c>
      <c r="T123" s="268">
        <f t="shared" si="80"/>
        <v>1.075283462686567</v>
      </c>
      <c r="U123" s="268"/>
      <c r="V123" s="592" t="str">
        <f>'Data manipulation'!$B$31</f>
        <v>Primary solid biofuels</v>
      </c>
      <c r="W123" s="254" t="s">
        <v>177</v>
      </c>
      <c r="X123" s="246">
        <v>2018</v>
      </c>
      <c r="Y123" s="433">
        <f>_xlfn.IFNA(INDEX('Data manipulation'!$C$23:$O$39,MATCH($V123,'Data manipulation'!$B$23:$B$39,0),MATCH($X123,'Data manipulation'!$C$22:$O$22,0))/1000,0)*SUMIFS('Regional split'!$F$4:$F$6,'Regional split'!$B$4:$B$6,Y$3)*SUMIFS('Data manipulation'!$V$39:$V$42,'Data manipulation'!$X$39:$X$42,$E123,'Data manipulation'!$Y$39:$Y$42,$D123)</f>
        <v>1.0237974602082915</v>
      </c>
      <c r="Z123" s="270">
        <f>_xlfn.IFNA(INDEX('Data manipulation'!$C$23:$O$39,MATCH($V123,'Data manipulation'!$B$23:$B$39,0),MATCH($X123,'Data manipulation'!$C$22:$O$22,0))/1000,0)*SUMIFS('Regional split'!$F$4:$F$6,'Regional split'!$B$4:$B$6,Z$3)*SUMIFS('Data manipulation'!$V$39:$V$42,'Data manipulation'!$X$39:$X$42,$E123,'Data manipulation'!$Y$39:$Y$42,$D123)</f>
        <v>0</v>
      </c>
      <c r="AA123" s="455">
        <f>_xlfn.IFNA(INDEX('Data manipulation'!$C$23:$O$39,MATCH($V123,'Data manipulation'!$B$23:$B$39,0),MATCH($X123,'Data manipulation'!$C$22:$O$22,0))/1000,0)*SUMIFS('Regional split'!$F$4:$F$6,'Regional split'!$B$4:$B$6,AA$3)*SUMIFS('Data manipulation'!$V$39:$V$42,'Data manipulation'!$X$39:$X$42,$E123,'Data manipulation'!$Y$39:$Y$42,$D123)</f>
        <v>0</v>
      </c>
      <c r="AB123" s="444">
        <f t="shared" si="153"/>
        <v>0.68594429833955539</v>
      </c>
      <c r="AC123" s="251">
        <f t="shared" si="154"/>
        <v>0</v>
      </c>
      <c r="AD123" s="445">
        <f t="shared" si="155"/>
        <v>0</v>
      </c>
      <c r="AU123" s="260"/>
      <c r="AZ123" s="252"/>
    </row>
    <row r="124" spans="2:52" ht="15" customHeight="1">
      <c r="B124" s="233" t="str">
        <f t="shared" ref="B124:G124" si="179">B84</f>
        <v>CHTRMCOAE1</v>
      </c>
      <c r="C124" s="233" t="str">
        <f t="shared" si="179"/>
        <v>Residential Heating Technology Rural Multi - Coal - Existing 1</v>
      </c>
      <c r="D124" s="233" t="str">
        <f t="shared" si="179"/>
        <v>Rural</v>
      </c>
      <c r="E124" s="233" t="str">
        <f t="shared" si="179"/>
        <v>Multi storey</v>
      </c>
      <c r="F124" s="233" t="str">
        <f t="shared" si="179"/>
        <v>COMCOA</v>
      </c>
      <c r="G124" s="233" t="str">
        <f t="shared" si="179"/>
        <v>COMHRMB</v>
      </c>
      <c r="H124" s="259">
        <v>2018</v>
      </c>
      <c r="I124" s="250">
        <f t="shared" si="174"/>
        <v>2.7</v>
      </c>
      <c r="J124" s="250">
        <f t="shared" si="175"/>
        <v>0</v>
      </c>
      <c r="K124" s="250">
        <f t="shared" si="176"/>
        <v>0</v>
      </c>
      <c r="L124" s="463">
        <v>0.72</v>
      </c>
      <c r="M124" s="463">
        <v>0.72</v>
      </c>
      <c r="N124" s="463">
        <v>0.72</v>
      </c>
      <c r="O124" s="244">
        <f t="shared" si="161"/>
        <v>3.1536000000000002E-2</v>
      </c>
      <c r="P124" s="459">
        <v>0.15</v>
      </c>
      <c r="Q124" s="245">
        <v>20</v>
      </c>
      <c r="R124" s="227">
        <v>1.05</v>
      </c>
      <c r="T124" s="268">
        <f t="shared" si="80"/>
        <v>1.7739000000000001E-2</v>
      </c>
      <c r="U124" s="268"/>
      <c r="V124" s="592" t="str">
        <f>'Data manipulation'!$B$23</f>
        <v>Solid fossil fuels, peat, peat products, oil shale and oil sands</v>
      </c>
      <c r="W124" s="254" t="s">
        <v>863</v>
      </c>
      <c r="X124" s="246">
        <v>2018</v>
      </c>
      <c r="Y124" s="433">
        <f>_xlfn.IFNA(INDEX('Data manipulation'!$C$23:$O$39,MATCH($V124,'Data manipulation'!$B$23:$B$39,0),MATCH($X124,'Data manipulation'!$C$22:$O$22,0))/1000,0)*SUMIFS('Regional split'!$F$4:$F$6,'Regional split'!$B$4:$B$6,Y$3)*SUMIFS('Data manipulation'!$V$39:$V$42,'Data manipulation'!$X$39:$X$42,$E124,'Data manipulation'!$Y$39:$Y$42,$D124)</f>
        <v>1.6635088999999999E-2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5">
        <f>_xlfn.IFNA(INDEX('Data manipulation'!$C$23:$O$39,MATCH($V124,'Data manipulation'!$B$23:$B$39,0),MATCH($X124,'Data manipulation'!$C$22:$O$22,0))/1000,0)*SUMIFS('Regional split'!$F$4:$F$6,'Regional split'!$B$4:$B$6,AA$3)*SUMIFS('Data manipulation'!$V$39:$V$42,'Data manipulation'!$X$39:$X$42,$E124,'Data manipulation'!$Y$39:$Y$42,$D124)</f>
        <v>0</v>
      </c>
      <c r="AB124" s="444">
        <f t="shared" si="153"/>
        <v>1.1977264079999999E-2</v>
      </c>
      <c r="AC124" s="251">
        <f t="shared" si="154"/>
        <v>0</v>
      </c>
      <c r="AD124" s="445">
        <f t="shared" si="155"/>
        <v>0</v>
      </c>
      <c r="AU124" s="260"/>
      <c r="AZ124" s="252"/>
    </row>
    <row r="125" spans="2:52" ht="15" customHeight="1">
      <c r="B125" s="233" t="str">
        <f t="shared" ref="B125:G125" si="180">B85</f>
        <v>CHTRMSOLE1</v>
      </c>
      <c r="C125" s="233" t="str">
        <f t="shared" si="180"/>
        <v>Residential Heating Technology Rural Multi - Solar - Existing 1</v>
      </c>
      <c r="D125" s="233" t="str">
        <f t="shared" si="180"/>
        <v>Rural</v>
      </c>
      <c r="E125" s="233" t="str">
        <f t="shared" si="180"/>
        <v>Multi storey</v>
      </c>
      <c r="F125" s="233" t="str">
        <f t="shared" si="180"/>
        <v>COMSOL</v>
      </c>
      <c r="G125" s="233" t="str">
        <f t="shared" si="180"/>
        <v>COMHRMB</v>
      </c>
      <c r="H125" s="259">
        <v>2018</v>
      </c>
      <c r="I125" s="250">
        <f t="shared" si="174"/>
        <v>0.79999999999999993</v>
      </c>
      <c r="J125" s="250">
        <f t="shared" si="175"/>
        <v>0</v>
      </c>
      <c r="K125" s="250">
        <f t="shared" si="176"/>
        <v>0</v>
      </c>
      <c r="L125" s="463">
        <v>1</v>
      </c>
      <c r="M125" s="463">
        <v>1</v>
      </c>
      <c r="N125" s="463">
        <v>1</v>
      </c>
      <c r="O125" s="244">
        <f t="shared" si="161"/>
        <v>3.1536000000000002E-2</v>
      </c>
      <c r="P125" s="459">
        <v>0.15</v>
      </c>
      <c r="Q125" s="245">
        <v>20</v>
      </c>
      <c r="R125" s="227">
        <v>1.05</v>
      </c>
      <c r="T125" s="268">
        <f t="shared" si="80"/>
        <v>3.7843199999999999E-3</v>
      </c>
      <c r="U125" s="268"/>
      <c r="V125" s="592" t="str">
        <f>'Data manipulation'!$B$29</f>
        <v>Solar thermal</v>
      </c>
      <c r="W125" s="254" t="s">
        <v>169</v>
      </c>
      <c r="X125" s="246">
        <v>2018</v>
      </c>
      <c r="Y125" s="433">
        <f>_xlfn.IFNA(INDEX('Data manipulation'!$C$23:$O$39,MATCH($V125,'Data manipulation'!$B$23:$B$39,0),MATCH($X125,'Data manipulation'!$C$22:$O$22,0))/1000,0)*SUMIFS('Regional split'!$F$4:$F$6,'Regional split'!$B$4:$B$6,Y$3)*SUMIFS('Data manipulation'!$V$39:$V$42,'Data manipulation'!$X$39:$X$42,$E125,'Data manipulation'!$Y$39:$Y$42,$D125)</f>
        <v>3.3228150000000002E-3</v>
      </c>
      <c r="Z125" s="270">
        <f>_xlfn.IFNA(INDEX('Data manipulation'!$C$23:$O$39,MATCH($V125,'Data manipulation'!$B$23:$B$39,0),MATCH($X125,'Data manipulation'!$C$22:$O$22,0))/1000,0)*SUMIFS('Regional split'!$F$4:$F$6,'Regional split'!$B$4:$B$6,Z$3)*SUMIFS('Data manipulation'!$V$39:$V$42,'Data manipulation'!$X$39:$X$42,$E125,'Data manipulation'!$Y$39:$Y$42,$D125)</f>
        <v>0</v>
      </c>
      <c r="AA125" s="455">
        <f>_xlfn.IFNA(INDEX('Data manipulation'!$C$23:$O$39,MATCH($V125,'Data manipulation'!$B$23:$B$39,0),MATCH($X125,'Data manipulation'!$C$22:$O$22,0))/1000,0)*SUMIFS('Regional split'!$F$4:$F$6,'Regional split'!$B$4:$B$6,AA$3)*SUMIFS('Data manipulation'!$V$39:$V$42,'Data manipulation'!$X$39:$X$42,$E125,'Data manipulation'!$Y$39:$Y$42,$D125)</f>
        <v>0</v>
      </c>
      <c r="AB125" s="444">
        <f t="shared" si="153"/>
        <v>3.3228150000000002E-3</v>
      </c>
      <c r="AC125" s="251">
        <f t="shared" si="154"/>
        <v>0</v>
      </c>
      <c r="AD125" s="445">
        <f t="shared" si="155"/>
        <v>0</v>
      </c>
      <c r="AU125" s="260"/>
      <c r="AZ125" s="252"/>
    </row>
    <row r="126" spans="2:52" ht="15" customHeight="1">
      <c r="B126" s="233" t="str">
        <f t="shared" ref="B126:G126" si="181">B86</f>
        <v>CHTRMELCHE1</v>
      </c>
      <c r="C126" s="233" t="str">
        <f t="shared" si="181"/>
        <v>Residential Heating Technology Rural Multi - Electricity Heating - Existing 1</v>
      </c>
      <c r="D126" s="233" t="str">
        <f t="shared" si="181"/>
        <v>Rural</v>
      </c>
      <c r="E126" s="233" t="str">
        <f t="shared" si="181"/>
        <v>Multi storey</v>
      </c>
      <c r="F126" s="233" t="str">
        <f t="shared" si="181"/>
        <v>COMELCH</v>
      </c>
      <c r="G126" s="233" t="str">
        <f t="shared" si="181"/>
        <v>COMHRMB</v>
      </c>
      <c r="H126" s="259">
        <v>2018</v>
      </c>
      <c r="I126" s="250">
        <f t="shared" si="174"/>
        <v>119.5</v>
      </c>
      <c r="J126" s="250">
        <f t="shared" si="175"/>
        <v>0</v>
      </c>
      <c r="K126" s="250">
        <f t="shared" si="176"/>
        <v>0</v>
      </c>
      <c r="L126" s="463">
        <v>1</v>
      </c>
      <c r="M126" s="463">
        <v>1</v>
      </c>
      <c r="N126" s="463">
        <v>1</v>
      </c>
      <c r="O126" s="244">
        <f t="shared" si="161"/>
        <v>3.1536000000000002E-2</v>
      </c>
      <c r="P126" s="459">
        <v>0.15</v>
      </c>
      <c r="Q126" s="245">
        <v>30</v>
      </c>
      <c r="R126" s="227">
        <v>1.05</v>
      </c>
      <c r="T126" s="268">
        <f t="shared" si="80"/>
        <v>0.56528279999999997</v>
      </c>
      <c r="U126" s="268"/>
      <c r="V126" s="592" t="str">
        <f>'Data manipulation'!$B$33</f>
        <v>Electricity</v>
      </c>
      <c r="W126" s="254" t="s">
        <v>170</v>
      </c>
      <c r="X126" s="246">
        <v>2018</v>
      </c>
      <c r="Y126" s="433">
        <f>_xlfn.IFNA(INDEX('Data manipulation'!$C$23:$O$39,MATCH($V126,'Data manipulation'!$B$23:$B$39,0),MATCH($X126,'Data manipulation'!$C$22:$O$22,0))/1000,0)*SUMIFS('Regional split'!$F$4:$F$6,'Regional split'!$B$4:$B$6,Y$3)*SUMIFS('Data manipulation'!$V$39:$V$42,'Data manipulation'!$X$39:$X$42,$E126,'Data manipulation'!$Y$39:$Y$42,$D126)</f>
        <v>0.53833002580913913</v>
      </c>
      <c r="Z126" s="270">
        <f>_xlfn.IFNA(INDEX('Data manipulation'!$C$23:$O$39,MATCH($V126,'Data manipulation'!$B$23:$B$39,0),MATCH($X126,'Data manipulation'!$C$22:$O$22,0))/1000,0)*SUMIFS('Regional split'!$F$4:$F$6,'Regional split'!$B$4:$B$6,Z$3)*SUMIFS('Data manipulation'!$V$39:$V$42,'Data manipulation'!$X$39:$X$42,$E126,'Data manipulation'!$Y$39:$Y$42,$D126)</f>
        <v>0</v>
      </c>
      <c r="AA126" s="455">
        <f>_xlfn.IFNA(INDEX('Data manipulation'!$C$23:$O$39,MATCH($V126,'Data manipulation'!$B$23:$B$39,0),MATCH($X126,'Data manipulation'!$C$22:$O$22,0))/1000,0)*SUMIFS('Regional split'!$F$4:$F$6,'Regional split'!$B$4:$B$6,AA$3)*SUMIFS('Data manipulation'!$V$39:$V$42,'Data manipulation'!$X$39:$X$42,$E126,'Data manipulation'!$Y$39:$Y$42,$D126)</f>
        <v>0</v>
      </c>
      <c r="AB126" s="444">
        <f t="shared" si="153"/>
        <v>0.53833002580913913</v>
      </c>
      <c r="AC126" s="251">
        <f t="shared" si="154"/>
        <v>0</v>
      </c>
      <c r="AD126" s="445">
        <f t="shared" si="155"/>
        <v>0</v>
      </c>
      <c r="AU126" s="260"/>
      <c r="AZ126" s="252"/>
    </row>
    <row r="127" spans="2:52" ht="15" customHeight="1">
      <c r="B127" s="233" t="str">
        <f t="shared" ref="B127:G127" si="182">B87</f>
        <v>CHTRMELCHE2</v>
      </c>
      <c r="C127" s="233" t="str">
        <f t="shared" si="182"/>
        <v>Residential Heating Technology Rural Multi - Electricity Heating - Existing 2</v>
      </c>
      <c r="D127" s="233" t="str">
        <f t="shared" si="182"/>
        <v>Rural</v>
      </c>
      <c r="E127" s="233" t="str">
        <f t="shared" si="182"/>
        <v>Multi storey</v>
      </c>
      <c r="F127" s="233" t="str">
        <f t="shared" si="182"/>
        <v>COMELCH</v>
      </c>
      <c r="G127" s="233" t="str">
        <f t="shared" si="182"/>
        <v>COMHRMB</v>
      </c>
      <c r="H127" s="259">
        <v>2018</v>
      </c>
      <c r="I127" s="250">
        <f t="shared" si="174"/>
        <v>32.6</v>
      </c>
      <c r="J127" s="250">
        <f t="shared" si="175"/>
        <v>0</v>
      </c>
      <c r="K127" s="250">
        <f t="shared" si="176"/>
        <v>0</v>
      </c>
      <c r="L127" s="463">
        <v>2.3149999999999999</v>
      </c>
      <c r="M127" s="463">
        <v>2.3149999999999999</v>
      </c>
      <c r="N127" s="463">
        <v>2.3149999999999999</v>
      </c>
      <c r="O127" s="244">
        <f t="shared" si="161"/>
        <v>3.1536000000000002E-2</v>
      </c>
      <c r="P127" s="459">
        <v>0.15</v>
      </c>
      <c r="Q127" s="245">
        <v>30</v>
      </c>
      <c r="R127" s="227">
        <v>1.05</v>
      </c>
      <c r="T127" s="268">
        <f t="shared" si="80"/>
        <v>6.6613840172786182E-2</v>
      </c>
      <c r="U127" s="268"/>
      <c r="V127" s="592" t="str">
        <f>'Data manipulation'!$B$30</f>
        <v>Ambient heat (heat pumps)</v>
      </c>
      <c r="W127" s="254" t="s">
        <v>171</v>
      </c>
      <c r="X127" s="246">
        <v>2018</v>
      </c>
      <c r="Y127" s="433">
        <f>_xlfn.IFNA(INDEX('Data manipulation'!$C$23:$O$39,MATCH($V127,'Data manipulation'!$B$23:$B$39,0),MATCH($X127,'Data manipulation'!$C$22:$O$22,0))/1000,0)*SUMIFS('Regional split'!$F$4:$F$6,'Regional split'!$B$4:$B$6,Y$3)*SUMIFS('Data manipulation'!$V$39:$V$42,'Data manipulation'!$X$39:$X$42,$E127,'Data manipulation'!$Y$39:$Y$42,$D127)</f>
        <v>6.3298690000000005E-2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5">
        <f>_xlfn.IFNA(INDEX('Data manipulation'!$C$23:$O$39,MATCH($V127,'Data manipulation'!$B$23:$B$39,0),MATCH($X127,'Data manipulation'!$C$22:$O$22,0))/1000,0)*SUMIFS('Regional split'!$F$4:$F$6,'Regional split'!$B$4:$B$6,AA$3)*SUMIFS('Data manipulation'!$V$39:$V$42,'Data manipulation'!$X$39:$X$42,$E127,'Data manipulation'!$Y$39:$Y$42,$D127)</f>
        <v>0</v>
      </c>
      <c r="AB127" s="444">
        <f t="shared" si="153"/>
        <v>0.14653646735</v>
      </c>
      <c r="AC127" s="251">
        <f t="shared" si="154"/>
        <v>0</v>
      </c>
      <c r="AD127" s="445">
        <f t="shared" si="155"/>
        <v>0</v>
      </c>
      <c r="AU127" s="260"/>
      <c r="AZ127" s="252"/>
    </row>
    <row r="128" spans="2:52" ht="15" customHeight="1">
      <c r="B128" s="233" t="str">
        <f t="shared" ref="B128:G128" si="183">B88</f>
        <v>CHTRMHCEE1</v>
      </c>
      <c r="C128" s="233" t="str">
        <f t="shared" si="183"/>
        <v>Residential Heating Technology Rural Multi - District heating Central - Existing 1</v>
      </c>
      <c r="D128" s="233" t="str">
        <f t="shared" si="183"/>
        <v>Rural</v>
      </c>
      <c r="E128" s="233" t="str">
        <f t="shared" si="183"/>
        <v>Multi storey</v>
      </c>
      <c r="F128" s="233" t="str">
        <f t="shared" si="183"/>
        <v>COMHDE</v>
      </c>
      <c r="G128" s="233" t="str">
        <f t="shared" si="183"/>
        <v>COMHRMX</v>
      </c>
      <c r="H128" s="261">
        <v>2018</v>
      </c>
      <c r="I128" s="568">
        <v>0</v>
      </c>
      <c r="J128" s="568">
        <v>0</v>
      </c>
      <c r="K128" s="568">
        <v>0</v>
      </c>
      <c r="L128" s="463">
        <v>0.98</v>
      </c>
      <c r="M128" s="463">
        <v>0.98</v>
      </c>
      <c r="N128" s="463">
        <v>0.98</v>
      </c>
      <c r="O128" s="244">
        <f t="shared" si="161"/>
        <v>3.1536000000000002E-2</v>
      </c>
      <c r="P128" s="459">
        <v>0.15</v>
      </c>
      <c r="Q128" s="245">
        <v>30</v>
      </c>
      <c r="R128" s="227">
        <v>1.05</v>
      </c>
      <c r="T128" s="268">
        <f t="shared" si="80"/>
        <v>0</v>
      </c>
      <c r="U128" s="268"/>
      <c r="V128" s="592" t="str">
        <f>'Data manipulation'!$B$34</f>
        <v>Heat</v>
      </c>
      <c r="W128" s="254" t="s">
        <v>172</v>
      </c>
      <c r="X128" s="246">
        <v>2018</v>
      </c>
      <c r="Y128" s="433">
        <f>_xlfn.IFNA(INDEX('Data manipulation'!$C$23:$O$39,MATCH($V128,'Data manipulation'!$B$23:$B$39,0),MATCH($X128,'Data manipulation'!$C$22:$O$22,0))/1000,0)*SUMIFS('Regional split'!$F$4:$F$6,'Regional split'!$B$4:$B$6,Y$3)*SUMIFS('Data manipulation'!$V$39:$V$42,'Data manipulation'!$X$39:$X$42,$E128,'Data manipulation'!$Y$39:$Y$42,$D128)</f>
        <v>0.96865389073968744</v>
      </c>
      <c r="Z128" s="270">
        <f>_xlfn.IFNA(INDEX('Data manipulation'!$C$23:$O$39,MATCH($V128,'Data manipulation'!$B$23:$B$39,0),MATCH($X128,'Data manipulation'!$C$22:$O$22,0))/1000,0)*SUMIFS('Regional split'!$F$4:$F$6,'Regional split'!$B$4:$B$6,Z$3)*SUMIFS('Data manipulation'!$V$39:$V$42,'Data manipulation'!$X$39:$X$42,$E128,'Data manipulation'!$Y$39:$Y$42,$D128)</f>
        <v>0</v>
      </c>
      <c r="AA128" s="455">
        <f>_xlfn.IFNA(INDEX('Data manipulation'!$C$23:$O$39,MATCH($V128,'Data manipulation'!$B$23:$B$39,0),MATCH($X128,'Data manipulation'!$C$22:$O$22,0))/1000,0)*SUMIFS('Regional split'!$F$4:$F$6,'Regional split'!$B$4:$B$6,AA$3)*SUMIFS('Data manipulation'!$V$39:$V$42,'Data manipulation'!$X$39:$X$42,$E128,'Data manipulation'!$Y$39:$Y$42,$D128)</f>
        <v>0</v>
      </c>
      <c r="AB128" s="444">
        <f t="shared" si="153"/>
        <v>0.94928081292489364</v>
      </c>
      <c r="AC128" s="251">
        <f t="shared" si="154"/>
        <v>0</v>
      </c>
      <c r="AD128" s="445">
        <f t="shared" si="155"/>
        <v>0</v>
      </c>
      <c r="AU128" s="260"/>
      <c r="AZ128" s="252"/>
    </row>
    <row r="129" spans="2:52" ht="15" customHeight="1" thickBot="1">
      <c r="B129" s="233" t="str">
        <f t="shared" ref="B129:G129" si="184">B89</f>
        <v>CHTRMLPGE1</v>
      </c>
      <c r="C129" s="233" t="str">
        <f t="shared" si="184"/>
        <v>Residential Heating Technology Rural Multi - LPG - Existing 1</v>
      </c>
      <c r="D129" s="233" t="str">
        <f t="shared" si="184"/>
        <v>Rural</v>
      </c>
      <c r="E129" s="233" t="str">
        <f t="shared" si="184"/>
        <v>Multi storey</v>
      </c>
      <c r="F129" s="233" t="str">
        <f t="shared" si="184"/>
        <v>COMLPG</v>
      </c>
      <c r="G129" s="233" t="str">
        <f t="shared" si="184"/>
        <v>COMHRMB</v>
      </c>
      <c r="H129" s="261">
        <v>2018</v>
      </c>
      <c r="I129" s="297">
        <f t="shared" ref="I129" si="185">ROUNDUP(AB129/($O129*$P129)*$R129,1)</f>
        <v>25.8</v>
      </c>
      <c r="J129" s="297">
        <f t="shared" ref="J129" si="186">ROUNDUP(AC129/($O129*$P129)*$R129,1)</f>
        <v>0</v>
      </c>
      <c r="K129" s="297">
        <f t="shared" ref="K129" si="187">ROUNDUP(AD129/($O129*$P129)*$R129,1)</f>
        <v>0</v>
      </c>
      <c r="L129" s="463">
        <v>0.98</v>
      </c>
      <c r="M129" s="463">
        <v>0.98</v>
      </c>
      <c r="N129" s="463">
        <v>0.98</v>
      </c>
      <c r="O129" s="244">
        <f t="shared" si="161"/>
        <v>3.1536000000000002E-2</v>
      </c>
      <c r="P129" s="459">
        <v>0.15</v>
      </c>
      <c r="Q129" s="245">
        <v>30</v>
      </c>
      <c r="R129" s="227">
        <v>1.05</v>
      </c>
      <c r="T129" s="268">
        <f t="shared" si="80"/>
        <v>0.12453502040816326</v>
      </c>
      <c r="U129" s="268"/>
      <c r="V129" s="593" t="str">
        <f>'Data manipulation'!$B$25</f>
        <v>Liquefied natural gas</v>
      </c>
      <c r="W129" s="428" t="s">
        <v>771</v>
      </c>
      <c r="X129" s="246">
        <v>2018</v>
      </c>
      <c r="Y129" s="434">
        <f>_xlfn.IFNA(INDEX('Data manipulation'!$C$23:$O$39,MATCH($V129,'Data manipulation'!$B$23:$B$39,0),MATCH($X129,'Data manipulation'!$C$22:$O$22,0))/1000,0)*SUMIFS('Regional split'!$F$4:$F$6,'Regional split'!$B$4:$B$6,Y$3)*SUMIFS('Data manipulation'!$V$39:$V$42,'Data manipulation'!$X$39:$X$42,$E129,'Data manipulation'!$Y$39:$Y$42,$D129)</f>
        <v>0.11825330199999999</v>
      </c>
      <c r="Z129" s="431">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6">
        <f t="shared" si="153"/>
        <v>0.11588823595999999</v>
      </c>
      <c r="AC129" s="432">
        <f t="shared" si="154"/>
        <v>0</v>
      </c>
      <c r="AD129" s="453">
        <f t="shared" si="155"/>
        <v>0</v>
      </c>
      <c r="AU129" s="260"/>
      <c r="AZ129" s="252"/>
    </row>
    <row r="130" spans="2:52" ht="15" customHeight="1">
      <c r="B130" s="227" t="str">
        <f>B90</f>
        <v>CHTUDNGAE1</v>
      </c>
      <c r="C130" s="227" t="str">
        <f t="shared" ref="C130:G130" si="188">C90</f>
        <v>Residential Heating Technology Urban Detached - Natural Gas - Existing 1</v>
      </c>
      <c r="D130" s="227" t="str">
        <f t="shared" si="188"/>
        <v>Urban</v>
      </c>
      <c r="E130" s="227" t="str">
        <f t="shared" si="188"/>
        <v>Detached</v>
      </c>
      <c r="F130" s="227" t="str">
        <f t="shared" si="188"/>
        <v>COMNGA,COMSNG,COMBGA</v>
      </c>
      <c r="G130" s="227" t="str">
        <f t="shared" si="188"/>
        <v>COMHUDB</v>
      </c>
      <c r="H130" s="230">
        <v>2019</v>
      </c>
      <c r="I130" s="250">
        <f>ROUNDUP(AB130/($O130*$P130)*$R130,1)</f>
        <v>13995.9</v>
      </c>
      <c r="J130" s="250">
        <f>ROUNDUP(AC130/($O130*$P130)*$R130,1)</f>
        <v>0</v>
      </c>
      <c r="K130" s="250">
        <f>ROUNDUP(AD130/($O130*$P130)*$R130,1)</f>
        <v>0</v>
      </c>
      <c r="L130" s="463">
        <v>0.72</v>
      </c>
      <c r="M130" s="463">
        <v>0.72</v>
      </c>
      <c r="N130" s="463">
        <v>0.72</v>
      </c>
      <c r="O130" s="244">
        <f>31.536/1000</f>
        <v>3.1536000000000002E-2</v>
      </c>
      <c r="P130" s="459">
        <v>0.15</v>
      </c>
      <c r="Q130" s="245">
        <v>22</v>
      </c>
      <c r="R130" s="227">
        <v>1.05</v>
      </c>
      <c r="T130" s="268">
        <f t="shared" ref="T130:T169" si="189">SUM(I130:K130)*O130*P130/L130</f>
        <v>91.953063</v>
      </c>
      <c r="U130" s="268"/>
      <c r="V130" s="592" t="str">
        <f>'Data manipulation'!$B$36</f>
        <v>Natural gas and biogas</v>
      </c>
      <c r="W130" s="246" t="s">
        <v>168</v>
      </c>
      <c r="X130" s="246">
        <v>2019</v>
      </c>
      <c r="Y130" s="433">
        <f>_xlfn.IFNA(INDEX('Data manipulation'!$C$23:$O$39,MATCH($V130,'Data manipulation'!$B$23:$B$39,0),MATCH($X130,'Data manipulation'!$C$22:$O$22,0))/1000,0)*SUMIFS('Regional split'!$F$4:$F$6,'Regional split'!$B$4:$B$6,Y$3)*SUMIFS('Data manipulation'!$V$39:$V$42,'Data manipulation'!$X$39:$X$42,$E130,'Data manipulation'!$Y$39:$Y$42,$D130)</f>
        <v>87.574129060154888</v>
      </c>
      <c r="Z130" s="270">
        <f>_xlfn.IFNA(INDEX('Data manipulation'!$C$23:$O$39,MATCH($V130,'Data manipulation'!$B$23:$B$39,0),MATCH($X130,'Data manipulation'!$C$22:$O$22,0))/1000,0)*SUMIFS('Regional split'!$F$4:$F$6,'Regional split'!$B$4:$B$6,Z$3)*SUMIFS('Data manipulation'!$V$39:$V$42,'Data manipulation'!$X$39:$X$42,$E130,'Data manipulation'!$Y$39:$Y$42,$D130)</f>
        <v>0</v>
      </c>
      <c r="AA130" s="455">
        <f>_xlfn.IFNA(INDEX('Data manipulation'!$C$23:$O$39,MATCH($V130,'Data manipulation'!$B$23:$B$39,0),MATCH($X130,'Data manipulation'!$C$22:$O$22,0))/1000,0)*SUMIFS('Regional split'!$F$4:$F$6,'Regional split'!$B$4:$B$6,AA$3)*SUMIFS('Data manipulation'!$V$39:$V$42,'Data manipulation'!$X$39:$X$42,$E130,'Data manipulation'!$Y$39:$Y$42,$D130)</f>
        <v>0</v>
      </c>
      <c r="AB130" s="444">
        <f t="shared" si="153"/>
        <v>63.053372923311514</v>
      </c>
      <c r="AC130" s="251">
        <f t="shared" si="154"/>
        <v>0</v>
      </c>
      <c r="AD130" s="445">
        <f t="shared" si="155"/>
        <v>0</v>
      </c>
      <c r="AE130" s="262"/>
      <c r="AU130" s="260"/>
      <c r="AZ130" s="252"/>
    </row>
    <row r="131" spans="2:52" ht="15" customHeight="1">
      <c r="B131" s="227" t="str">
        <f t="shared" ref="B131:G131" si="190">B91</f>
        <v>CHTUDDSLE1</v>
      </c>
      <c r="C131" s="227" t="str">
        <f t="shared" si="190"/>
        <v>Residential Heating Technology Urban Detached - Diesel - Existing 1</v>
      </c>
      <c r="D131" s="227" t="str">
        <f t="shared" si="190"/>
        <v>Urban</v>
      </c>
      <c r="E131" s="227" t="str">
        <f t="shared" si="190"/>
        <v>Detached</v>
      </c>
      <c r="F131" s="227" t="str">
        <f t="shared" si="190"/>
        <v>COMDSL,COMDSB</v>
      </c>
      <c r="G131" s="227" t="str">
        <f t="shared" si="190"/>
        <v>COMHUDB</v>
      </c>
      <c r="H131" s="230">
        <v>2019</v>
      </c>
      <c r="I131" s="250">
        <f t="shared" ref="I131:I138" si="191">ROUNDUP(AB131/($O131*$P131)*$R131,1)</f>
        <v>0</v>
      </c>
      <c r="J131" s="250">
        <f t="shared" ref="J131:J137" si="192">ROUNDUP(AC131/($O131*$P131)*$R131,1)</f>
        <v>0</v>
      </c>
      <c r="K131" s="250">
        <f t="shared" ref="K131:K137" si="193">ROUNDUP(AD131/($O131*$P131)*$R131,1)</f>
        <v>0</v>
      </c>
      <c r="L131" s="463">
        <v>0.71</v>
      </c>
      <c r="M131" s="463">
        <v>0.71</v>
      </c>
      <c r="N131" s="463">
        <v>0.71</v>
      </c>
      <c r="O131" s="244">
        <f>31.536/1000</f>
        <v>3.1536000000000002E-2</v>
      </c>
      <c r="P131" s="459">
        <v>0.15</v>
      </c>
      <c r="Q131" s="245">
        <v>20</v>
      </c>
      <c r="R131" s="227">
        <v>1.05</v>
      </c>
      <c r="T131" s="268">
        <f t="shared" si="189"/>
        <v>0</v>
      </c>
      <c r="V131" s="592" t="str">
        <f>'Data manipulation'!$B$35</f>
        <v>Oil products</v>
      </c>
      <c r="W131" s="254" t="s">
        <v>729</v>
      </c>
      <c r="X131" s="246">
        <v>2019</v>
      </c>
      <c r="Y131" s="433">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5">
        <f>_xlfn.IFNA(INDEX('Data manipulation'!$C$23:$O$39,MATCH($V131,'Data manipulation'!$B$23:$B$39,0),MATCH($X131,'Data manipulation'!$C$22:$O$22,0))/1000,0)*SUMIFS('Regional split'!$F$4:$F$6,'Regional split'!$B$4:$B$6,AA$3)*SUMIFS('Data manipulation'!$V$39:$V$42,'Data manipulation'!$X$39:$X$42,$E131,'Data manipulation'!$Y$39:$Y$42,$D131)</f>
        <v>0</v>
      </c>
      <c r="AB131" s="444">
        <f t="shared" si="153"/>
        <v>0</v>
      </c>
      <c r="AC131" s="251">
        <f t="shared" si="154"/>
        <v>0</v>
      </c>
      <c r="AD131" s="445">
        <f t="shared" si="155"/>
        <v>0</v>
      </c>
      <c r="AE131" s="262"/>
      <c r="AU131" s="260"/>
      <c r="AZ131" s="252"/>
    </row>
    <row r="132" spans="2:52" ht="15" customHeight="1">
      <c r="B132" s="227" t="str">
        <f t="shared" ref="B132:G132" si="194">B92</f>
        <v>CHTUDWPEE1</v>
      </c>
      <c r="C132" s="227" t="str">
        <f t="shared" si="194"/>
        <v>Residential Heating Technology Urban Detached - Wood pellets - Existing 1</v>
      </c>
      <c r="D132" s="227" t="str">
        <f t="shared" si="194"/>
        <v>Urban</v>
      </c>
      <c r="E132" s="227" t="str">
        <f t="shared" si="194"/>
        <v>Detached</v>
      </c>
      <c r="F132" s="227" t="str">
        <f t="shared" si="194"/>
        <v>COMWPE</v>
      </c>
      <c r="G132" s="227" t="str">
        <f t="shared" si="194"/>
        <v>COMHUDB</v>
      </c>
      <c r="H132" s="230">
        <v>2019</v>
      </c>
      <c r="I132" s="250">
        <f t="shared" si="191"/>
        <v>0</v>
      </c>
      <c r="J132" s="250">
        <f t="shared" si="192"/>
        <v>0</v>
      </c>
      <c r="K132" s="250">
        <f t="shared" si="193"/>
        <v>0</v>
      </c>
      <c r="L132" s="463">
        <v>0.61</v>
      </c>
      <c r="M132" s="463">
        <v>0.61</v>
      </c>
      <c r="N132" s="463">
        <v>0.61</v>
      </c>
      <c r="O132" s="244">
        <f t="shared" ref="O132:O149" si="195">31.536/1000</f>
        <v>3.1536000000000002E-2</v>
      </c>
      <c r="P132" s="459">
        <v>0.15</v>
      </c>
      <c r="Q132" s="245">
        <v>20</v>
      </c>
      <c r="R132" s="227">
        <v>1.05</v>
      </c>
      <c r="T132" s="268">
        <f t="shared" si="189"/>
        <v>0</v>
      </c>
      <c r="U132" s="268"/>
      <c r="W132" s="254" t="s">
        <v>866</v>
      </c>
      <c r="X132" s="246">
        <v>2019</v>
      </c>
      <c r="Y132" s="433">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5">
        <f>_xlfn.IFNA(INDEX('Data manipulation'!$C$23:$O$39,MATCH($V132,'Data manipulation'!$B$23:$B$39,0),MATCH($X132,'Data manipulation'!$C$22:$O$22,0))/1000,0)*SUMIFS('Regional split'!$F$4:$F$6,'Regional split'!$B$4:$B$6,AA$3)*SUMIFS('Data manipulation'!$V$39:$V$42,'Data manipulation'!$X$39:$X$42,$E132,'Data manipulation'!$Y$39:$Y$42,$D132)</f>
        <v>0</v>
      </c>
      <c r="AB132" s="444">
        <f t="shared" si="153"/>
        <v>0</v>
      </c>
      <c r="AC132" s="251">
        <f t="shared" si="154"/>
        <v>0</v>
      </c>
      <c r="AD132" s="445">
        <f t="shared" si="155"/>
        <v>0</v>
      </c>
      <c r="AE132" s="262"/>
      <c r="AU132" s="260"/>
      <c r="AZ132" s="252"/>
    </row>
    <row r="133" spans="2:52" ht="15" customHeight="1">
      <c r="B133" s="227" t="str">
        <f t="shared" ref="B133:G133" si="196">B93</f>
        <v>CHTUDFIWE1</v>
      </c>
      <c r="C133" s="227" t="str">
        <f t="shared" si="196"/>
        <v>Residential Heating Technology Urban Detached - Fire wood - Existing 1</v>
      </c>
      <c r="D133" s="227" t="str">
        <f t="shared" si="196"/>
        <v>Urban</v>
      </c>
      <c r="E133" s="227" t="str">
        <f t="shared" si="196"/>
        <v>Detached</v>
      </c>
      <c r="F133" s="227" t="str">
        <f t="shared" si="196"/>
        <v>COMFIW</v>
      </c>
      <c r="G133" s="227" t="str">
        <f t="shared" si="196"/>
        <v>COMHUDB</v>
      </c>
      <c r="H133" s="230">
        <v>2019</v>
      </c>
      <c r="I133" s="250">
        <f t="shared" si="191"/>
        <v>2168.6999999999998</v>
      </c>
      <c r="J133" s="250">
        <f t="shared" si="192"/>
        <v>0</v>
      </c>
      <c r="K133" s="250">
        <f t="shared" si="193"/>
        <v>0</v>
      </c>
      <c r="L133" s="463">
        <v>0.65000022993955098</v>
      </c>
      <c r="M133" s="463">
        <v>0.65000022993955098</v>
      </c>
      <c r="N133" s="463">
        <v>0.65000022993955098</v>
      </c>
      <c r="O133" s="244">
        <f t="shared" si="195"/>
        <v>3.1536000000000002E-2</v>
      </c>
      <c r="P133" s="459">
        <v>0.15</v>
      </c>
      <c r="Q133" s="245">
        <v>20</v>
      </c>
      <c r="R133" s="227">
        <v>1.05</v>
      </c>
      <c r="T133" s="268">
        <f t="shared" si="189"/>
        <v>15.782792078325965</v>
      </c>
      <c r="U133" s="268"/>
      <c r="V133" s="592" t="str">
        <f>'Data manipulation'!$B$31</f>
        <v>Primary solid biofuels</v>
      </c>
      <c r="W133" s="254" t="s">
        <v>177</v>
      </c>
      <c r="X133" s="246">
        <v>2019</v>
      </c>
      <c r="Y133" s="433">
        <f>_xlfn.IFNA(INDEX('Data manipulation'!$C$23:$O$39,MATCH($V133,'Data manipulation'!$B$23:$B$39,0),MATCH($X133,'Data manipulation'!$C$22:$O$22,0))/1000,0)*SUMIFS('Regional split'!$F$4:$F$6,'Regional split'!$B$4:$B$6,Y$3)*SUMIFS('Data manipulation'!$V$39:$V$42,'Data manipulation'!$X$39:$X$42,$E133,'Data manipulation'!$Y$39:$Y$42,$D133)</f>
        <v>15.031012744810324</v>
      </c>
      <c r="Z133" s="270">
        <f>_xlfn.IFNA(INDEX('Data manipulation'!$C$23:$O$39,MATCH($V133,'Data manipulation'!$B$23:$B$39,0),MATCH($X133,'Data manipulation'!$C$22:$O$22,0))/1000,0)*SUMIFS('Regional split'!$F$4:$F$6,'Regional split'!$B$4:$B$6,Z$3)*SUMIFS('Data manipulation'!$V$39:$V$42,'Data manipulation'!$X$39:$X$42,$E133,'Data manipulation'!$Y$39:$Y$42,$D133)</f>
        <v>0</v>
      </c>
      <c r="AA133" s="455">
        <f>_xlfn.IFNA(INDEX('Data manipulation'!$C$23:$O$39,MATCH($V133,'Data manipulation'!$B$23:$B$39,0),MATCH($X133,'Data manipulation'!$C$22:$O$22,0))/1000,0)*SUMIFS('Regional split'!$F$4:$F$6,'Regional split'!$B$4:$B$6,AA$3)*SUMIFS('Data manipulation'!$V$39:$V$42,'Data manipulation'!$X$39:$X$42,$E133,'Data manipulation'!$Y$39:$Y$42,$D133)</f>
        <v>0</v>
      </c>
      <c r="AB133" s="444">
        <f t="shared" si="153"/>
        <v>9.7701617403510319</v>
      </c>
      <c r="AC133" s="251">
        <f t="shared" si="154"/>
        <v>0</v>
      </c>
      <c r="AD133" s="445">
        <f t="shared" si="155"/>
        <v>0</v>
      </c>
      <c r="AE133" s="262"/>
      <c r="AU133" s="260"/>
      <c r="AZ133" s="252"/>
    </row>
    <row r="134" spans="2:52" ht="15" customHeight="1">
      <c r="B134" s="233" t="str">
        <f t="shared" ref="B134:G134" si="197">B94</f>
        <v>CHTUDCOAE1</v>
      </c>
      <c r="C134" s="233" t="str">
        <f t="shared" si="197"/>
        <v>Residential Heating Technology Urban Detached - Coal - Existing 1</v>
      </c>
      <c r="D134" s="233" t="str">
        <f t="shared" si="197"/>
        <v>Urban</v>
      </c>
      <c r="E134" s="233" t="str">
        <f t="shared" si="197"/>
        <v>Detached</v>
      </c>
      <c r="F134" s="233" t="str">
        <f t="shared" si="197"/>
        <v>COMCOA</v>
      </c>
      <c r="G134" s="233" t="str">
        <f t="shared" si="197"/>
        <v>COMHUDB</v>
      </c>
      <c r="H134" s="230">
        <v>2019</v>
      </c>
      <c r="I134" s="250">
        <f t="shared" si="191"/>
        <v>3.3000000000000003</v>
      </c>
      <c r="J134" s="250">
        <f t="shared" si="192"/>
        <v>0</v>
      </c>
      <c r="K134" s="250">
        <f t="shared" si="193"/>
        <v>0</v>
      </c>
      <c r="L134" s="463">
        <v>0.7</v>
      </c>
      <c r="M134" s="463">
        <v>0.7</v>
      </c>
      <c r="N134" s="463">
        <v>0.7</v>
      </c>
      <c r="O134" s="244">
        <f t="shared" si="195"/>
        <v>3.1536000000000002E-2</v>
      </c>
      <c r="P134" s="459">
        <v>0.15</v>
      </c>
      <c r="Q134" s="245">
        <v>20</v>
      </c>
      <c r="R134" s="227">
        <v>1.05</v>
      </c>
      <c r="T134" s="268">
        <f t="shared" si="189"/>
        <v>2.2300457142857149E-2</v>
      </c>
      <c r="U134" s="268"/>
      <c r="V134" s="592" t="str">
        <f>'Data manipulation'!$B$23</f>
        <v>Solid fossil fuels, peat, peat products, oil shale and oil sands</v>
      </c>
      <c r="W134" s="254" t="s">
        <v>863</v>
      </c>
      <c r="X134" s="246">
        <v>2019</v>
      </c>
      <c r="Y134" s="433">
        <f>_xlfn.IFNA(INDEX('Data manipulation'!$C$23:$O$39,MATCH($V134,'Data manipulation'!$B$23:$B$39,0),MATCH($X134,'Data manipulation'!$C$22:$O$22,0))/1000,0)*SUMIFS('Regional split'!$F$4:$F$6,'Regional split'!$B$4:$B$6,Y$3)*SUMIFS('Data manipulation'!$V$39:$V$42,'Data manipulation'!$X$39:$X$42,$E134,'Data manipulation'!$Y$39:$Y$42,$D134)</f>
        <v>2.0709772000000001E-2</v>
      </c>
      <c r="Z134" s="270">
        <f>_xlfn.IFNA(INDEX('Data manipulation'!$C$23:$O$39,MATCH($V134,'Data manipulation'!$B$23:$B$39,0),MATCH($X134,'Data manipulation'!$C$22:$O$22,0))/1000,0)*SUMIFS('Regional split'!$F$4:$F$6,'Regional split'!$B$4:$B$6,Z$3)*SUMIFS('Data manipulation'!$V$39:$V$42,'Data manipulation'!$X$39:$X$42,$E134,'Data manipulation'!$Y$39:$Y$42,$D134)</f>
        <v>0</v>
      </c>
      <c r="AA134" s="455">
        <f>_xlfn.IFNA(INDEX('Data manipulation'!$C$23:$O$39,MATCH($V134,'Data manipulation'!$B$23:$B$39,0),MATCH($X134,'Data manipulation'!$C$22:$O$22,0))/1000,0)*SUMIFS('Regional split'!$F$4:$F$6,'Regional split'!$B$4:$B$6,AA$3)*SUMIFS('Data manipulation'!$V$39:$V$42,'Data manipulation'!$X$39:$X$42,$E134,'Data manipulation'!$Y$39:$Y$42,$D134)</f>
        <v>0</v>
      </c>
      <c r="AB134" s="444">
        <f t="shared" si="153"/>
        <v>1.4496840400000001E-2</v>
      </c>
      <c r="AC134" s="251">
        <f t="shared" si="154"/>
        <v>0</v>
      </c>
      <c r="AD134" s="445">
        <f t="shared" si="155"/>
        <v>0</v>
      </c>
      <c r="AE134" s="262"/>
      <c r="AU134" s="260"/>
      <c r="AZ134" s="252"/>
    </row>
    <row r="135" spans="2:52" ht="15" customHeight="1">
      <c r="B135" s="233" t="str">
        <f t="shared" ref="B135:G135" si="198">B95</f>
        <v>CHTUDSOLE1</v>
      </c>
      <c r="C135" s="233" t="str">
        <f t="shared" si="198"/>
        <v>Residential Heating Technology Urban Detached - Solar - Existing 1</v>
      </c>
      <c r="D135" s="233" t="str">
        <f t="shared" si="198"/>
        <v>Urban</v>
      </c>
      <c r="E135" s="233" t="str">
        <f t="shared" si="198"/>
        <v>Detached</v>
      </c>
      <c r="F135" s="233" t="str">
        <f t="shared" si="198"/>
        <v>COMSOL</v>
      </c>
      <c r="G135" s="233" t="str">
        <f t="shared" si="198"/>
        <v>COMHUDB</v>
      </c>
      <c r="H135" s="230">
        <v>2019</v>
      </c>
      <c r="I135" s="250">
        <f t="shared" si="191"/>
        <v>9.9</v>
      </c>
      <c r="J135" s="250">
        <f t="shared" si="192"/>
        <v>0</v>
      </c>
      <c r="K135" s="250">
        <f t="shared" si="193"/>
        <v>0</v>
      </c>
      <c r="L135" s="463">
        <v>1</v>
      </c>
      <c r="M135" s="463">
        <v>1</v>
      </c>
      <c r="N135" s="463">
        <v>1</v>
      </c>
      <c r="O135" s="244">
        <f t="shared" si="195"/>
        <v>3.1536000000000002E-2</v>
      </c>
      <c r="P135" s="459">
        <v>0.15</v>
      </c>
      <c r="Q135" s="245">
        <v>20</v>
      </c>
      <c r="R135" s="227">
        <v>1.05</v>
      </c>
      <c r="T135" s="268">
        <f t="shared" si="189"/>
        <v>4.6830960000000005E-2</v>
      </c>
      <c r="U135" s="268"/>
      <c r="V135" s="592" t="str">
        <f>'Data manipulation'!$B$29</f>
        <v>Solar thermal</v>
      </c>
      <c r="W135" s="254" t="s">
        <v>169</v>
      </c>
      <c r="X135" s="246">
        <v>2019</v>
      </c>
      <c r="Y135" s="433">
        <f>_xlfn.IFNA(INDEX('Data manipulation'!$C$23:$O$39,MATCH($V135,'Data manipulation'!$B$23:$B$39,0),MATCH($X135,'Data manipulation'!$C$22:$O$22,0))/1000,0)*SUMIFS('Regional split'!$F$4:$F$6,'Regional split'!$B$4:$B$6,Y$3)*SUMIFS('Data manipulation'!$V$39:$V$42,'Data manipulation'!$X$39:$X$42,$E135,'Data manipulation'!$Y$39:$Y$42,$D135)</f>
        <v>4.4542096000000003E-2</v>
      </c>
      <c r="Z135" s="270">
        <f>_xlfn.IFNA(INDEX('Data manipulation'!$C$23:$O$39,MATCH($V135,'Data manipulation'!$B$23:$B$39,0),MATCH($X135,'Data manipulation'!$C$22:$O$22,0))/1000,0)*SUMIFS('Regional split'!$F$4:$F$6,'Regional split'!$B$4:$B$6,Z$3)*SUMIFS('Data manipulation'!$V$39:$V$42,'Data manipulation'!$X$39:$X$42,$E135,'Data manipulation'!$Y$39:$Y$42,$D135)</f>
        <v>0</v>
      </c>
      <c r="AA135" s="455">
        <f>_xlfn.IFNA(INDEX('Data manipulation'!$C$23:$O$39,MATCH($V135,'Data manipulation'!$B$23:$B$39,0),MATCH($X135,'Data manipulation'!$C$22:$O$22,0))/1000,0)*SUMIFS('Regional split'!$F$4:$F$6,'Regional split'!$B$4:$B$6,AA$3)*SUMIFS('Data manipulation'!$V$39:$V$42,'Data manipulation'!$X$39:$X$42,$E135,'Data manipulation'!$Y$39:$Y$42,$D135)</f>
        <v>0</v>
      </c>
      <c r="AB135" s="444">
        <f t="shared" si="153"/>
        <v>4.4542096000000003E-2</v>
      </c>
      <c r="AC135" s="251">
        <f t="shared" si="154"/>
        <v>0</v>
      </c>
      <c r="AD135" s="445">
        <f t="shared" si="155"/>
        <v>0</v>
      </c>
      <c r="AE135" s="262"/>
      <c r="AU135" s="260"/>
      <c r="AZ135" s="252"/>
    </row>
    <row r="136" spans="2:52" ht="15" customHeight="1">
      <c r="B136" s="233" t="str">
        <f t="shared" ref="B136:G136" si="199">B96</f>
        <v>CHTUDELCHE1</v>
      </c>
      <c r="C136" s="233" t="str">
        <f t="shared" si="199"/>
        <v>Residential Heating Technology Urban Detached - Electricity Heating - Existing 1</v>
      </c>
      <c r="D136" s="233" t="str">
        <f t="shared" si="199"/>
        <v>Urban</v>
      </c>
      <c r="E136" s="233" t="str">
        <f t="shared" si="199"/>
        <v>Detached</v>
      </c>
      <c r="F136" s="233" t="str">
        <f t="shared" si="199"/>
        <v>COMELCH</v>
      </c>
      <c r="G136" s="233" t="str">
        <f t="shared" si="199"/>
        <v>COMHUDB</v>
      </c>
      <c r="H136" s="230">
        <v>2019</v>
      </c>
      <c r="I136" s="250">
        <f t="shared" si="191"/>
        <v>1647.5</v>
      </c>
      <c r="J136" s="250">
        <f t="shared" si="192"/>
        <v>0</v>
      </c>
      <c r="K136" s="250">
        <f t="shared" si="193"/>
        <v>0</v>
      </c>
      <c r="L136" s="463">
        <v>1</v>
      </c>
      <c r="M136" s="463">
        <v>1</v>
      </c>
      <c r="N136" s="463">
        <v>1</v>
      </c>
      <c r="O136" s="244">
        <f t="shared" si="195"/>
        <v>3.1536000000000002E-2</v>
      </c>
      <c r="P136" s="459">
        <v>0.15</v>
      </c>
      <c r="Q136" s="245">
        <v>30</v>
      </c>
      <c r="R136" s="227">
        <v>1.05</v>
      </c>
      <c r="T136" s="268">
        <f t="shared" si="189"/>
        <v>7.7933340000000006</v>
      </c>
      <c r="U136" s="268"/>
      <c r="V136" s="592" t="str">
        <f>'Data manipulation'!$B$33</f>
        <v>Electricity</v>
      </c>
      <c r="W136" s="254" t="s">
        <v>170</v>
      </c>
      <c r="X136" s="246">
        <v>2019</v>
      </c>
      <c r="Y136" s="433">
        <f>_xlfn.IFNA(INDEX('Data manipulation'!$C$23:$O$39,MATCH($V136,'Data manipulation'!$B$23:$B$39,0),MATCH($X136,'Data manipulation'!$C$22:$O$22,0))/1000,0)*SUMIFS('Regional split'!$F$4:$F$6,'Regional split'!$B$4:$B$6,Y$3)*SUMIFS('Data manipulation'!$V$39:$V$42,'Data manipulation'!$X$39:$X$42,$E136,'Data manipulation'!$Y$39:$Y$42,$D136)</f>
        <v>7.4219855920096727</v>
      </c>
      <c r="Z136" s="270">
        <f>_xlfn.IFNA(INDEX('Data manipulation'!$C$23:$O$39,MATCH($V136,'Data manipulation'!$B$23:$B$39,0),MATCH($X136,'Data manipulation'!$C$22:$O$22,0))/1000,0)*SUMIFS('Regional split'!$F$4:$F$6,'Regional split'!$B$4:$B$6,Z$3)*SUMIFS('Data manipulation'!$V$39:$V$42,'Data manipulation'!$X$39:$X$42,$E136,'Data manipulation'!$Y$39:$Y$42,$D136)</f>
        <v>0</v>
      </c>
      <c r="AA136" s="455">
        <f>_xlfn.IFNA(INDEX('Data manipulation'!$C$23:$O$39,MATCH($V136,'Data manipulation'!$B$23:$B$39,0),MATCH($X136,'Data manipulation'!$C$22:$O$22,0))/1000,0)*SUMIFS('Regional split'!$F$4:$F$6,'Regional split'!$B$4:$B$6,AA$3)*SUMIFS('Data manipulation'!$V$39:$V$42,'Data manipulation'!$X$39:$X$42,$E136,'Data manipulation'!$Y$39:$Y$42,$D136)</f>
        <v>0</v>
      </c>
      <c r="AB136" s="444">
        <f t="shared" si="153"/>
        <v>7.4219855920096727</v>
      </c>
      <c r="AC136" s="251">
        <f t="shared" si="154"/>
        <v>0</v>
      </c>
      <c r="AD136" s="445">
        <f t="shared" si="155"/>
        <v>0</v>
      </c>
      <c r="AU136" s="260"/>
      <c r="AZ136" s="252"/>
    </row>
    <row r="137" spans="2:52" ht="15" customHeight="1">
      <c r="B137" s="233" t="str">
        <f t="shared" ref="B137:G137" si="200">B97</f>
        <v>CHTUDELCHE2</v>
      </c>
      <c r="C137" s="233" t="str">
        <f t="shared" si="200"/>
        <v>Residential Heating Technology Urban Detached - Electricity Heating - Existing 2</v>
      </c>
      <c r="D137" s="233" t="str">
        <f t="shared" si="200"/>
        <v>Urban</v>
      </c>
      <c r="E137" s="233" t="str">
        <f t="shared" si="200"/>
        <v>Detached</v>
      </c>
      <c r="F137" s="233" t="str">
        <f t="shared" si="200"/>
        <v>COMELCH</v>
      </c>
      <c r="G137" s="233" t="str">
        <f t="shared" si="200"/>
        <v>COMHUDB</v>
      </c>
      <c r="H137" s="230">
        <v>2019</v>
      </c>
      <c r="I137" s="250">
        <f t="shared" si="191"/>
        <v>526.30000000000007</v>
      </c>
      <c r="J137" s="250">
        <f t="shared" si="192"/>
        <v>0</v>
      </c>
      <c r="K137" s="250">
        <f t="shared" si="193"/>
        <v>0</v>
      </c>
      <c r="L137" s="463">
        <v>2.3149999999999999</v>
      </c>
      <c r="M137" s="463">
        <v>2.3149999999999999</v>
      </c>
      <c r="N137" s="463">
        <v>2.3149999999999999</v>
      </c>
      <c r="O137" s="244">
        <f t="shared" si="195"/>
        <v>3.1536000000000002E-2</v>
      </c>
      <c r="P137" s="459">
        <v>0.15</v>
      </c>
      <c r="Q137" s="245">
        <v>30</v>
      </c>
      <c r="R137" s="227">
        <v>1.05</v>
      </c>
      <c r="T137" s="268">
        <f t="shared" si="189"/>
        <v>1.0754252786177108</v>
      </c>
      <c r="U137" s="268"/>
      <c r="V137" s="592" t="str">
        <f>'Data manipulation'!$B$30</f>
        <v>Ambient heat (heat pumps)</v>
      </c>
      <c r="W137" s="254" t="s">
        <v>171</v>
      </c>
      <c r="X137" s="246">
        <v>2019</v>
      </c>
      <c r="Y137" s="433">
        <f>_xlfn.IFNA(INDEX('Data manipulation'!$C$23:$O$39,MATCH($V137,'Data manipulation'!$B$23:$B$39,0),MATCH($X137,'Data manipulation'!$C$22:$O$22,0))/1000,0)*SUMIFS('Regional split'!$F$4:$F$6,'Regional split'!$B$4:$B$6,Y$3)*SUMIFS('Data manipulation'!$V$39:$V$42,'Data manipulation'!$X$39:$X$42,$E137,'Data manipulation'!$Y$39:$Y$42,$D137)</f>
        <v>1.0242013600000002</v>
      </c>
      <c r="Z137" s="270">
        <f>_xlfn.IFNA(INDEX('Data manipulation'!$C$23:$O$39,MATCH($V137,'Data manipulation'!$B$23:$B$39,0),MATCH($X137,'Data manipulation'!$C$22:$O$22,0))/1000,0)*SUMIFS('Regional split'!$F$4:$F$6,'Regional split'!$B$4:$B$6,Z$3)*SUMIFS('Data manipulation'!$V$39:$V$42,'Data manipulation'!$X$39:$X$42,$E137,'Data manipulation'!$Y$39:$Y$42,$D137)</f>
        <v>0</v>
      </c>
      <c r="AA137" s="455">
        <f>_xlfn.IFNA(INDEX('Data manipulation'!$C$23:$O$39,MATCH($V137,'Data manipulation'!$B$23:$B$39,0),MATCH($X137,'Data manipulation'!$C$22:$O$22,0))/1000,0)*SUMIFS('Regional split'!$F$4:$F$6,'Regional split'!$B$4:$B$6,AA$3)*SUMIFS('Data manipulation'!$V$39:$V$42,'Data manipulation'!$X$39:$X$42,$E137,'Data manipulation'!$Y$39:$Y$42,$D137)</f>
        <v>0</v>
      </c>
      <c r="AB137" s="444">
        <f t="shared" si="153"/>
        <v>2.3710261484000004</v>
      </c>
      <c r="AC137" s="251">
        <f t="shared" si="154"/>
        <v>0</v>
      </c>
      <c r="AD137" s="445">
        <f t="shared" si="155"/>
        <v>0</v>
      </c>
      <c r="AU137" s="260"/>
      <c r="AZ137" s="252"/>
    </row>
    <row r="138" spans="2:52" ht="15" customHeight="1">
      <c r="B138" s="233" t="str">
        <f t="shared" ref="B138:G138" si="201">B98</f>
        <v>CHTUDHCEE1</v>
      </c>
      <c r="C138" s="233" t="str">
        <f t="shared" si="201"/>
        <v>Residential Heating Technology Urban Detached - District heating Central - Existing 1</v>
      </c>
      <c r="D138" s="233" t="str">
        <f t="shared" si="201"/>
        <v>Urban</v>
      </c>
      <c r="E138" s="233" t="str">
        <f t="shared" si="201"/>
        <v>Detached</v>
      </c>
      <c r="F138" s="233" t="str">
        <f t="shared" si="201"/>
        <v>COMHCE</v>
      </c>
      <c r="G138" s="233" t="str">
        <f t="shared" si="201"/>
        <v>COMHUDX</v>
      </c>
      <c r="H138" s="230">
        <v>2019</v>
      </c>
      <c r="I138" s="250">
        <f t="shared" si="191"/>
        <v>3003.6</v>
      </c>
      <c r="J138" s="568">
        <v>0</v>
      </c>
      <c r="K138" s="568">
        <v>0</v>
      </c>
      <c r="L138" s="463">
        <v>0.95</v>
      </c>
      <c r="M138" s="463">
        <v>0.95</v>
      </c>
      <c r="N138" s="463">
        <v>0.95</v>
      </c>
      <c r="O138" s="244">
        <f t="shared" si="195"/>
        <v>3.1536000000000002E-2</v>
      </c>
      <c r="P138" s="459">
        <v>0.15</v>
      </c>
      <c r="Q138" s="245">
        <v>30</v>
      </c>
      <c r="R138" s="227">
        <v>1.05</v>
      </c>
      <c r="T138" s="268">
        <f t="shared" si="189"/>
        <v>14.956030989473684</v>
      </c>
      <c r="U138" s="268"/>
      <c r="V138" s="592" t="str">
        <f>'Data manipulation'!$B$34</f>
        <v>Heat</v>
      </c>
      <c r="W138" s="254" t="s">
        <v>172</v>
      </c>
      <c r="X138" s="246">
        <v>2019</v>
      </c>
      <c r="Y138" s="433">
        <f>_xlfn.IFNA(INDEX('Data manipulation'!$C$23:$O$39,MATCH($V138,'Data manipulation'!$B$23:$B$39,0),MATCH($X138,'Data manipulation'!$C$22:$O$22,0))/1000,0)*SUMIFS('Regional split'!$F$4:$F$6,'Regional split'!$B$4:$B$6,Y$3)*SUMIFS('Data manipulation'!$V$39:$V$42,'Data manipulation'!$X$39:$X$42,$E138,'Data manipulation'!$Y$39:$Y$42,$D138)</f>
        <v>14.243513858646621</v>
      </c>
      <c r="Z138" s="270">
        <f>_xlfn.IFNA(INDEX('Data manipulation'!$C$23:$O$39,MATCH($V138,'Data manipulation'!$B$23:$B$39,0),MATCH($X138,'Data manipulation'!$C$22:$O$22,0))/1000,0)*SUMIFS('Regional split'!$F$4:$F$6,'Regional split'!$B$4:$B$6,Z$3)*SUMIFS('Data manipulation'!$V$39:$V$42,'Data manipulation'!$X$39:$X$42,$E138,'Data manipulation'!$Y$39:$Y$42,$D138)</f>
        <v>0</v>
      </c>
      <c r="AA138" s="455">
        <f>_xlfn.IFNA(INDEX('Data manipulation'!$C$23:$O$39,MATCH($V138,'Data manipulation'!$B$23:$B$39,0),MATCH($X138,'Data manipulation'!$C$22:$O$22,0))/1000,0)*SUMIFS('Regional split'!$F$4:$F$6,'Regional split'!$B$4:$B$6,AA$3)*SUMIFS('Data manipulation'!$V$39:$V$42,'Data manipulation'!$X$39:$X$42,$E138,'Data manipulation'!$Y$39:$Y$42,$D138)</f>
        <v>0</v>
      </c>
      <c r="AB138" s="444">
        <f t="shared" si="153"/>
        <v>13.531338165714288</v>
      </c>
      <c r="AC138" s="251">
        <f t="shared" si="154"/>
        <v>0</v>
      </c>
      <c r="AD138" s="445">
        <f t="shared" si="155"/>
        <v>0</v>
      </c>
      <c r="AU138" s="260"/>
      <c r="AZ138" s="252"/>
    </row>
    <row r="139" spans="2:52" ht="15" customHeight="1" thickBot="1">
      <c r="B139" s="255" t="str">
        <f t="shared" ref="B139:G139" si="202">B99</f>
        <v>CHTUDLPGE1</v>
      </c>
      <c r="C139" s="255" t="str">
        <f t="shared" si="202"/>
        <v>Residential Heating Technology Urban Detached - LPG - Existing 1</v>
      </c>
      <c r="D139" s="531" t="str">
        <f t="shared" si="202"/>
        <v>Urban</v>
      </c>
      <c r="E139" s="531" t="str">
        <f t="shared" si="202"/>
        <v>Detached</v>
      </c>
      <c r="F139" s="255" t="str">
        <f t="shared" si="202"/>
        <v>COMLPG</v>
      </c>
      <c r="G139" s="255" t="str">
        <f t="shared" si="202"/>
        <v>COMHUDB</v>
      </c>
      <c r="H139" s="423">
        <v>2019</v>
      </c>
      <c r="I139" s="297">
        <f t="shared" ref="I139" si="203">ROUNDUP(AB139/($O139*$P139)*$R139,1)</f>
        <v>375.90000000000003</v>
      </c>
      <c r="J139" s="297">
        <f t="shared" ref="J139" si="204">ROUNDUP(AC139/($O139*$P139)*$R139,1)</f>
        <v>0</v>
      </c>
      <c r="K139" s="297">
        <f t="shared" ref="K139" si="205">ROUNDUP(AD139/($O139*$P139)*$R139,1)</f>
        <v>0</v>
      </c>
      <c r="L139" s="464">
        <v>0.95</v>
      </c>
      <c r="M139" s="464">
        <v>0.95</v>
      </c>
      <c r="N139" s="464">
        <v>0.95</v>
      </c>
      <c r="O139" s="257">
        <f t="shared" si="195"/>
        <v>3.1536000000000002E-2</v>
      </c>
      <c r="P139" s="460">
        <v>0.15</v>
      </c>
      <c r="Q139" s="258">
        <v>30</v>
      </c>
      <c r="R139" s="227">
        <v>1.05</v>
      </c>
      <c r="T139" s="268">
        <f t="shared" si="189"/>
        <v>1.8717445894736846</v>
      </c>
      <c r="U139" s="268"/>
      <c r="V139" s="593" t="str">
        <f>'Data manipulation'!$B$25</f>
        <v>Liquefied natural gas</v>
      </c>
      <c r="W139" s="428" t="s">
        <v>771</v>
      </c>
      <c r="X139" s="246">
        <v>2019</v>
      </c>
      <c r="Y139" s="434">
        <f>_xlfn.IFNA(INDEX('Data manipulation'!$C$23:$O$39,MATCH($V139,'Data manipulation'!$B$23:$B$39,0),MATCH($X139,'Data manipulation'!$C$22:$O$22,0))/1000,0)*SUMIFS('Regional split'!$F$4:$F$6,'Regional split'!$B$4:$B$6,Y$3)*SUMIFS('Data manipulation'!$V$39:$V$42,'Data manipulation'!$X$39:$X$42,$E139,'Data manipulation'!$Y$39:$Y$42,$D139)</f>
        <v>1.782549542129412</v>
      </c>
      <c r="Z139" s="431">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51">
        <f t="shared" si="153"/>
        <v>1.6934220650229412</v>
      </c>
      <c r="AC139" s="277">
        <f t="shared" si="154"/>
        <v>0</v>
      </c>
      <c r="AD139" s="447">
        <f t="shared" si="155"/>
        <v>0</v>
      </c>
      <c r="AU139" s="260"/>
      <c r="AZ139" s="252"/>
    </row>
    <row r="140" spans="2:52" ht="15" customHeight="1">
      <c r="B140" s="233" t="str">
        <f t="shared" ref="B140:G140" si="206">B100</f>
        <v>CHTRDNGAE1</v>
      </c>
      <c r="C140" s="233" t="str">
        <f t="shared" si="206"/>
        <v>Residential Heating Technology Rural Detached - Natural Gas - Existing 1</v>
      </c>
      <c r="D140" s="233" t="str">
        <f t="shared" si="206"/>
        <v>Rural</v>
      </c>
      <c r="E140" s="233" t="str">
        <f t="shared" si="206"/>
        <v>Detached</v>
      </c>
      <c r="F140" s="233" t="str">
        <f t="shared" si="206"/>
        <v>COMNGA,COMSNG</v>
      </c>
      <c r="G140" s="233" t="str">
        <f t="shared" si="206"/>
        <v>COMHRDB</v>
      </c>
      <c r="H140" s="259">
        <v>2019</v>
      </c>
      <c r="I140" s="250">
        <f>ROUNDUP(AB140/($O140*$P140)*$R140,1)</f>
        <v>24890.3</v>
      </c>
      <c r="J140" s="250">
        <f>ROUNDUP(AC140/($O140*$P140)*$R140,1)</f>
        <v>0</v>
      </c>
      <c r="K140" s="250">
        <f>ROUNDUP(AD140/($O140*$P140)*$R140,1)</f>
        <v>0</v>
      </c>
      <c r="L140" s="463">
        <v>0.79</v>
      </c>
      <c r="M140" s="463">
        <v>0.79</v>
      </c>
      <c r="N140" s="463">
        <v>0.79</v>
      </c>
      <c r="O140" s="244">
        <f t="shared" si="195"/>
        <v>3.1536000000000002E-2</v>
      </c>
      <c r="P140" s="459">
        <v>0.15</v>
      </c>
      <c r="Q140" s="245">
        <v>25</v>
      </c>
      <c r="R140" s="227">
        <v>1.05</v>
      </c>
      <c r="T140" s="268">
        <f t="shared" si="189"/>
        <v>149.03933559493669</v>
      </c>
      <c r="U140" s="268"/>
      <c r="V140" s="592" t="str">
        <f>'Data manipulation'!$B$36</f>
        <v>Natural gas and biogas</v>
      </c>
      <c r="W140" s="246" t="s">
        <v>168</v>
      </c>
      <c r="X140" s="246">
        <v>2019</v>
      </c>
      <c r="Y140" s="433">
        <f>_xlfn.IFNA(INDEX('Data manipulation'!$C$23:$O$39,MATCH($V140,'Data manipulation'!$B$23:$B$39,0),MATCH($X140,'Data manipulation'!$C$22:$O$22,0))/1000,0)*SUMIFS('Regional split'!$F$4:$F$6,'Regional split'!$B$4:$B$6,Y$3)*SUMIFS('Data manipulation'!$V$39:$V$42,'Data manipulation'!$X$39:$X$42,$E140,'Data manipulation'!$Y$39:$Y$42,$D140)</f>
        <v>141.94171104173802</v>
      </c>
      <c r="Z140" s="270">
        <f>_xlfn.IFNA(INDEX('Data manipulation'!$C$23:$O$39,MATCH($V140,'Data manipulation'!$B$23:$B$39,0),MATCH($X140,'Data manipulation'!$C$22:$O$22,0))/1000,0)*SUMIFS('Regional split'!$F$4:$F$6,'Regional split'!$B$4:$B$6,Z$3)*SUMIFS('Data manipulation'!$V$39:$V$42,'Data manipulation'!$X$39:$X$42,$E140,'Data manipulation'!$Y$39:$Y$42,$D140)</f>
        <v>0</v>
      </c>
      <c r="AA140" s="455">
        <f>_xlfn.IFNA(INDEX('Data manipulation'!$C$23:$O$39,MATCH($V140,'Data manipulation'!$B$23:$B$39,0),MATCH($X140,'Data manipulation'!$C$22:$O$22,0))/1000,0)*SUMIFS('Regional split'!$F$4:$F$6,'Regional split'!$B$4:$B$6,AA$3)*SUMIFS('Data manipulation'!$V$39:$V$42,'Data manipulation'!$X$39:$X$42,$E140,'Data manipulation'!$Y$39:$Y$42,$D140)</f>
        <v>0</v>
      </c>
      <c r="AB140" s="452">
        <f t="shared" si="153"/>
        <v>112.13395172297304</v>
      </c>
      <c r="AC140" s="278">
        <f t="shared" si="154"/>
        <v>0</v>
      </c>
      <c r="AD140" s="448">
        <f t="shared" si="155"/>
        <v>0</v>
      </c>
      <c r="AU140" s="260"/>
      <c r="AZ140" s="252"/>
    </row>
    <row r="141" spans="2:52" ht="15" customHeight="1">
      <c r="B141" s="233" t="str">
        <f t="shared" ref="B141:G141" si="207">B101</f>
        <v>CHTRDDSLE1</v>
      </c>
      <c r="C141" s="233" t="str">
        <f t="shared" si="207"/>
        <v>Residential Heating Technology Rural Detached - Diesel - Existing 1</v>
      </c>
      <c r="D141" s="233" t="str">
        <f t="shared" si="207"/>
        <v>Rural</v>
      </c>
      <c r="E141" s="233" t="str">
        <f t="shared" si="207"/>
        <v>Detached</v>
      </c>
      <c r="F141" s="233" t="str">
        <f t="shared" si="207"/>
        <v>COMDSL,COMDSB</v>
      </c>
      <c r="G141" s="233" t="str">
        <f t="shared" si="207"/>
        <v>COMHRDB</v>
      </c>
      <c r="H141" s="259">
        <v>2019</v>
      </c>
      <c r="I141" s="250">
        <f t="shared" ref="I141:I147" si="208">ROUNDUP(AB141/($O141*$P141)*$R141,1)</f>
        <v>0</v>
      </c>
      <c r="J141" s="250">
        <f t="shared" ref="J141:J147" si="209">ROUNDUP(AC141/($O141*$P141)*$R141,1)</f>
        <v>0</v>
      </c>
      <c r="K141" s="250">
        <f t="shared" ref="K141:K147" si="210">ROUNDUP(AD141/($O141*$P141)*$R141,1)</f>
        <v>0</v>
      </c>
      <c r="L141" s="463">
        <v>0.79</v>
      </c>
      <c r="M141" s="463">
        <v>0.79</v>
      </c>
      <c r="N141" s="463">
        <v>0.79</v>
      </c>
      <c r="O141" s="244">
        <f t="shared" si="195"/>
        <v>3.1536000000000002E-2</v>
      </c>
      <c r="P141" s="459">
        <v>0.15</v>
      </c>
      <c r="Q141" s="245">
        <v>20</v>
      </c>
      <c r="R141" s="227">
        <v>1.05</v>
      </c>
      <c r="T141" s="268">
        <f t="shared" si="189"/>
        <v>0</v>
      </c>
      <c r="V141" s="592" t="str">
        <f>'Data manipulation'!$B$35</f>
        <v>Oil products</v>
      </c>
      <c r="W141" s="254" t="s">
        <v>729</v>
      </c>
      <c r="X141" s="246">
        <v>2019</v>
      </c>
      <c r="Y141" s="433">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5">
        <f>_xlfn.IFNA(INDEX('Data manipulation'!$C$23:$O$39,MATCH($V141,'Data manipulation'!$B$23:$B$39,0),MATCH($X141,'Data manipulation'!$C$22:$O$22,0))/1000,0)*SUMIFS('Regional split'!$F$4:$F$6,'Regional split'!$B$4:$B$6,AA$3)*SUMIFS('Data manipulation'!$V$39:$V$42,'Data manipulation'!$X$39:$X$42,$E141,'Data manipulation'!$Y$39:$Y$42,$D141)</f>
        <v>0</v>
      </c>
      <c r="AB141" s="444">
        <f t="shared" si="153"/>
        <v>0</v>
      </c>
      <c r="AC141" s="251">
        <f t="shared" si="154"/>
        <v>0</v>
      </c>
      <c r="AD141" s="445">
        <f t="shared" si="155"/>
        <v>0</v>
      </c>
      <c r="AU141" s="260"/>
      <c r="AZ141" s="252"/>
    </row>
    <row r="142" spans="2:52" ht="15" customHeight="1">
      <c r="B142" s="233" t="str">
        <f t="shared" ref="B142:G142" si="211">B102</f>
        <v>CHTRDWPEE1</v>
      </c>
      <c r="C142" s="233" t="str">
        <f t="shared" si="211"/>
        <v>Residential Heating Technology Rural Detached - Wood pellets - Existing 1</v>
      </c>
      <c r="D142" s="233" t="str">
        <f t="shared" si="211"/>
        <v>Rural</v>
      </c>
      <c r="E142" s="233" t="str">
        <f t="shared" si="211"/>
        <v>Detached</v>
      </c>
      <c r="F142" s="233" t="str">
        <f t="shared" si="211"/>
        <v>COMWPE</v>
      </c>
      <c r="G142" s="233" t="str">
        <f t="shared" si="211"/>
        <v>COMHRDB</v>
      </c>
      <c r="H142" s="259">
        <v>2019</v>
      </c>
      <c r="I142" s="250">
        <f t="shared" si="208"/>
        <v>0</v>
      </c>
      <c r="J142" s="250">
        <f t="shared" si="209"/>
        <v>0</v>
      </c>
      <c r="K142" s="250">
        <f t="shared" si="210"/>
        <v>0</v>
      </c>
      <c r="L142" s="463">
        <v>0.67</v>
      </c>
      <c r="M142" s="463">
        <v>0.67</v>
      </c>
      <c r="N142" s="463">
        <v>0.67</v>
      </c>
      <c r="O142" s="244">
        <f>31.536/1000</f>
        <v>3.1536000000000002E-2</v>
      </c>
      <c r="P142" s="459">
        <v>0.15</v>
      </c>
      <c r="Q142" s="245">
        <v>20</v>
      </c>
      <c r="R142" s="227">
        <v>1.05</v>
      </c>
      <c r="T142" s="268">
        <f t="shared" si="189"/>
        <v>0</v>
      </c>
      <c r="U142" s="268"/>
      <c r="W142" s="254" t="s">
        <v>866</v>
      </c>
      <c r="X142" s="246">
        <v>2019</v>
      </c>
      <c r="Y142" s="433">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5">
        <f>_xlfn.IFNA(INDEX('Data manipulation'!$C$23:$O$39,MATCH($V142,'Data manipulation'!$B$23:$B$39,0),MATCH($X142,'Data manipulation'!$C$22:$O$22,0))/1000,0)*SUMIFS('Regional split'!$F$4:$F$6,'Regional split'!$B$4:$B$6,AA$3)*SUMIFS('Data manipulation'!$V$39:$V$42,'Data manipulation'!$X$39:$X$42,$E142,'Data manipulation'!$Y$39:$Y$42,$D142)</f>
        <v>0</v>
      </c>
      <c r="AB142" s="444">
        <f t="shared" si="153"/>
        <v>0</v>
      </c>
      <c r="AC142" s="251">
        <f t="shared" si="154"/>
        <v>0</v>
      </c>
      <c r="AD142" s="445">
        <f t="shared" si="155"/>
        <v>0</v>
      </c>
      <c r="AU142" s="260"/>
      <c r="AZ142" s="252"/>
    </row>
    <row r="143" spans="2:52" ht="15" customHeight="1">
      <c r="B143" s="233" t="str">
        <f t="shared" ref="B143:G143" si="212">B103</f>
        <v>CHTRDFIWE1</v>
      </c>
      <c r="C143" s="233" t="str">
        <f t="shared" si="212"/>
        <v>Residential Heating Technology Rural Detached - Fire wood - Existing 1</v>
      </c>
      <c r="D143" s="233" t="str">
        <f t="shared" si="212"/>
        <v>Rural</v>
      </c>
      <c r="E143" s="233" t="str">
        <f t="shared" si="212"/>
        <v>Detached</v>
      </c>
      <c r="F143" s="233" t="str">
        <f t="shared" si="212"/>
        <v>COMFIW</v>
      </c>
      <c r="G143" s="233" t="str">
        <f t="shared" si="212"/>
        <v>COMHRDB</v>
      </c>
      <c r="H143" s="259">
        <v>2019</v>
      </c>
      <c r="I143" s="250">
        <f t="shared" si="208"/>
        <v>3623.2</v>
      </c>
      <c r="J143" s="250">
        <f t="shared" si="209"/>
        <v>0</v>
      </c>
      <c r="K143" s="250">
        <f t="shared" si="210"/>
        <v>0</v>
      </c>
      <c r="L143" s="463">
        <v>0.67</v>
      </c>
      <c r="M143" s="463">
        <v>0.67</v>
      </c>
      <c r="N143" s="463">
        <v>0.67</v>
      </c>
      <c r="O143" s="244">
        <f>31.536/1000</f>
        <v>3.1536000000000002E-2</v>
      </c>
      <c r="P143" s="459">
        <v>0.15</v>
      </c>
      <c r="Q143" s="245">
        <v>20</v>
      </c>
      <c r="R143" s="227">
        <v>1.05</v>
      </c>
      <c r="T143" s="268">
        <f t="shared" si="189"/>
        <v>25.580873552238803</v>
      </c>
      <c r="U143" s="268"/>
      <c r="V143" s="592" t="str">
        <f>'Data manipulation'!$B$31</f>
        <v>Primary solid biofuels</v>
      </c>
      <c r="W143" s="254" t="s">
        <v>177</v>
      </c>
      <c r="X143" s="246">
        <v>2019</v>
      </c>
      <c r="Y143" s="433">
        <f>_xlfn.IFNA(INDEX('Data manipulation'!$C$23:$O$39,MATCH($V143,'Data manipulation'!$B$23:$B$39,0),MATCH($X143,'Data manipulation'!$C$22:$O$22,0))/1000,0)*SUMIFS('Regional split'!$F$4:$F$6,'Regional split'!$B$4:$B$6,Y$3)*SUMIFS('Data manipulation'!$V$39:$V$42,'Data manipulation'!$X$39:$X$42,$E143,'Data manipulation'!$Y$39:$Y$42,$D143)</f>
        <v>24.362533668168407</v>
      </c>
      <c r="Z143" s="270">
        <f>_xlfn.IFNA(INDEX('Data manipulation'!$C$23:$O$39,MATCH($V143,'Data manipulation'!$B$23:$B$39,0),MATCH($X143,'Data manipulation'!$C$22:$O$22,0))/1000,0)*SUMIFS('Regional split'!$F$4:$F$6,'Regional split'!$B$4:$B$6,Z$3)*SUMIFS('Data manipulation'!$V$39:$V$42,'Data manipulation'!$X$39:$X$42,$E143,'Data manipulation'!$Y$39:$Y$42,$D143)</f>
        <v>0</v>
      </c>
      <c r="AA143" s="455">
        <f>_xlfn.IFNA(INDEX('Data manipulation'!$C$23:$O$39,MATCH($V143,'Data manipulation'!$B$23:$B$39,0),MATCH($X143,'Data manipulation'!$C$22:$O$22,0))/1000,0)*SUMIFS('Regional split'!$F$4:$F$6,'Regional split'!$B$4:$B$6,AA$3)*SUMIFS('Data manipulation'!$V$39:$V$42,'Data manipulation'!$X$39:$X$42,$E143,'Data manipulation'!$Y$39:$Y$42,$D143)</f>
        <v>0</v>
      </c>
      <c r="AB143" s="444">
        <f t="shared" si="153"/>
        <v>16.322897557672835</v>
      </c>
      <c r="AC143" s="251">
        <f t="shared" si="154"/>
        <v>0</v>
      </c>
      <c r="AD143" s="445">
        <f t="shared" si="155"/>
        <v>0</v>
      </c>
      <c r="AU143" s="260"/>
      <c r="AZ143" s="252"/>
    </row>
    <row r="144" spans="2:52" ht="15" customHeight="1">
      <c r="B144" s="233" t="str">
        <f t="shared" ref="B144:G144" si="213">B104</f>
        <v>CHTRDCOAE1</v>
      </c>
      <c r="C144" s="233" t="str">
        <f t="shared" si="213"/>
        <v>Residential Heating Technology Rural Detached - Coal - Existing 1</v>
      </c>
      <c r="D144" s="233" t="str">
        <f t="shared" si="213"/>
        <v>Rural</v>
      </c>
      <c r="E144" s="233" t="str">
        <f t="shared" si="213"/>
        <v>Detached</v>
      </c>
      <c r="F144" s="233" t="str">
        <f t="shared" si="213"/>
        <v>COMCOA</v>
      </c>
      <c r="G144" s="233" t="str">
        <f t="shared" si="213"/>
        <v>COMHRDB</v>
      </c>
      <c r="H144" s="259">
        <v>2019</v>
      </c>
      <c r="I144" s="250">
        <f t="shared" si="208"/>
        <v>5.3999999999999995</v>
      </c>
      <c r="J144" s="250">
        <f t="shared" si="209"/>
        <v>0</v>
      </c>
      <c r="K144" s="250">
        <f t="shared" si="210"/>
        <v>0</v>
      </c>
      <c r="L144" s="463">
        <v>0.72</v>
      </c>
      <c r="M144" s="463">
        <v>0.72</v>
      </c>
      <c r="N144" s="463">
        <v>0.72</v>
      </c>
      <c r="O144" s="244">
        <f t="shared" si="195"/>
        <v>3.1536000000000002E-2</v>
      </c>
      <c r="P144" s="459">
        <v>0.15</v>
      </c>
      <c r="Q144" s="245">
        <v>20</v>
      </c>
      <c r="R144" s="227">
        <v>1.05</v>
      </c>
      <c r="T144" s="268">
        <f t="shared" si="189"/>
        <v>3.5477999999999996E-2</v>
      </c>
      <c r="U144" s="268"/>
      <c r="V144" s="592" t="str">
        <f>'Data manipulation'!$B$23</f>
        <v>Solid fossil fuels, peat, peat products, oil shale and oil sands</v>
      </c>
      <c r="W144" s="254" t="s">
        <v>863</v>
      </c>
      <c r="X144" s="246">
        <v>2019</v>
      </c>
      <c r="Y144" s="433">
        <f>_xlfn.IFNA(INDEX('Data manipulation'!$C$23:$O$39,MATCH($V144,'Data manipulation'!$B$23:$B$39,0),MATCH($X144,'Data manipulation'!$C$22:$O$22,0))/1000,0)*SUMIFS('Regional split'!$F$4:$F$6,'Regional split'!$B$4:$B$6,Y$3)*SUMIFS('Data manipulation'!$V$39:$V$42,'Data manipulation'!$X$39:$X$42,$E144,'Data manipulation'!$Y$39:$Y$42,$D144)</f>
        <v>3.3566767999999997E-2</v>
      </c>
      <c r="Z144" s="270">
        <f>_xlfn.IFNA(INDEX('Data manipulation'!$C$23:$O$39,MATCH($V144,'Data manipulation'!$B$23:$B$39,0),MATCH($X144,'Data manipulation'!$C$22:$O$22,0))/1000,0)*SUMIFS('Regional split'!$F$4:$F$6,'Regional split'!$B$4:$B$6,Z$3)*SUMIFS('Data manipulation'!$V$39:$V$42,'Data manipulation'!$X$39:$X$42,$E144,'Data manipulation'!$Y$39:$Y$42,$D144)</f>
        <v>0</v>
      </c>
      <c r="AA144" s="455">
        <f>_xlfn.IFNA(INDEX('Data manipulation'!$C$23:$O$39,MATCH($V144,'Data manipulation'!$B$23:$B$39,0),MATCH($X144,'Data manipulation'!$C$22:$O$22,0))/1000,0)*SUMIFS('Regional split'!$F$4:$F$6,'Regional split'!$B$4:$B$6,AA$3)*SUMIFS('Data manipulation'!$V$39:$V$42,'Data manipulation'!$X$39:$X$42,$E144,'Data manipulation'!$Y$39:$Y$42,$D144)</f>
        <v>0</v>
      </c>
      <c r="AB144" s="444">
        <f t="shared" si="153"/>
        <v>2.4168072959999998E-2</v>
      </c>
      <c r="AC144" s="251">
        <f t="shared" si="154"/>
        <v>0</v>
      </c>
      <c r="AD144" s="445">
        <f t="shared" si="155"/>
        <v>0</v>
      </c>
      <c r="AU144" s="260"/>
      <c r="AZ144" s="252"/>
    </row>
    <row r="145" spans="2:52" ht="15" customHeight="1">
      <c r="B145" s="233" t="str">
        <f t="shared" ref="B145:G145" si="214">B105</f>
        <v>CHTRDSOLE1</v>
      </c>
      <c r="C145" s="233" t="str">
        <f t="shared" si="214"/>
        <v>Residential Heating Technology Rural Detached - Solar - Existing 1</v>
      </c>
      <c r="D145" s="233" t="str">
        <f t="shared" si="214"/>
        <v>Rural</v>
      </c>
      <c r="E145" s="233" t="str">
        <f t="shared" si="214"/>
        <v>Detached</v>
      </c>
      <c r="F145" s="233" t="str">
        <f t="shared" si="214"/>
        <v>COMSOL</v>
      </c>
      <c r="G145" s="233" t="str">
        <f t="shared" si="214"/>
        <v>COMHRDB</v>
      </c>
      <c r="H145" s="259">
        <v>2019</v>
      </c>
      <c r="I145" s="250">
        <f t="shared" si="208"/>
        <v>16.100000000000001</v>
      </c>
      <c r="J145" s="250">
        <f t="shared" si="209"/>
        <v>0</v>
      </c>
      <c r="K145" s="250">
        <f t="shared" si="210"/>
        <v>0</v>
      </c>
      <c r="L145" s="463">
        <v>1</v>
      </c>
      <c r="M145" s="463">
        <v>1</v>
      </c>
      <c r="N145" s="463">
        <v>1</v>
      </c>
      <c r="O145" s="244">
        <f t="shared" si="195"/>
        <v>3.1536000000000002E-2</v>
      </c>
      <c r="P145" s="459">
        <v>0.15</v>
      </c>
      <c r="Q145" s="245">
        <v>20</v>
      </c>
      <c r="R145" s="227">
        <v>1.05</v>
      </c>
      <c r="T145" s="268">
        <f t="shared" si="189"/>
        <v>7.6159440000000009E-2</v>
      </c>
      <c r="U145" s="268"/>
      <c r="V145" s="592" t="str">
        <f>'Data manipulation'!$B$29</f>
        <v>Solar thermal</v>
      </c>
      <c r="W145" s="254" t="s">
        <v>169</v>
      </c>
      <c r="X145" s="246">
        <v>2019</v>
      </c>
      <c r="Y145" s="433">
        <f>_xlfn.IFNA(INDEX('Data manipulation'!$C$23:$O$39,MATCH($V145,'Data manipulation'!$B$23:$B$39,0),MATCH($X145,'Data manipulation'!$C$22:$O$22,0))/1000,0)*SUMIFS('Regional split'!$F$4:$F$6,'Regional split'!$B$4:$B$6,Y$3)*SUMIFS('Data manipulation'!$V$39:$V$42,'Data manipulation'!$X$39:$X$42,$E145,'Data manipulation'!$Y$39:$Y$42,$D145)</f>
        <v>7.2194623999999999E-2</v>
      </c>
      <c r="Z145" s="270">
        <f>_xlfn.IFNA(INDEX('Data manipulation'!$C$23:$O$39,MATCH($V145,'Data manipulation'!$B$23:$B$39,0),MATCH($X145,'Data manipulation'!$C$22:$O$22,0))/1000,0)*SUMIFS('Regional split'!$F$4:$F$6,'Regional split'!$B$4:$B$6,Z$3)*SUMIFS('Data manipulation'!$V$39:$V$42,'Data manipulation'!$X$39:$X$42,$E145,'Data manipulation'!$Y$39:$Y$42,$D145)</f>
        <v>0</v>
      </c>
      <c r="AA145" s="455">
        <f>_xlfn.IFNA(INDEX('Data manipulation'!$C$23:$O$39,MATCH($V145,'Data manipulation'!$B$23:$B$39,0),MATCH($X145,'Data manipulation'!$C$22:$O$22,0))/1000,0)*SUMIFS('Regional split'!$F$4:$F$6,'Regional split'!$B$4:$B$6,AA$3)*SUMIFS('Data manipulation'!$V$39:$V$42,'Data manipulation'!$X$39:$X$42,$E145,'Data manipulation'!$Y$39:$Y$42,$D145)</f>
        <v>0</v>
      </c>
      <c r="AB145" s="444">
        <f t="shared" si="153"/>
        <v>7.2194623999999999E-2</v>
      </c>
      <c r="AC145" s="251">
        <f t="shared" si="154"/>
        <v>0</v>
      </c>
      <c r="AD145" s="445">
        <f t="shared" si="155"/>
        <v>0</v>
      </c>
      <c r="AU145" s="260"/>
      <c r="AZ145" s="252"/>
    </row>
    <row r="146" spans="2:52" ht="15" customHeight="1">
      <c r="B146" s="233" t="str">
        <f t="shared" ref="B146:G146" si="215">B106</f>
        <v>CHTRDELCHE1</v>
      </c>
      <c r="C146" s="233" t="str">
        <f t="shared" si="215"/>
        <v>Residential Heating Technology Rural Detached - Electricity Heating - Existing 1</v>
      </c>
      <c r="D146" s="233" t="str">
        <f t="shared" si="215"/>
        <v>Rural</v>
      </c>
      <c r="E146" s="233" t="str">
        <f t="shared" si="215"/>
        <v>Detached</v>
      </c>
      <c r="F146" s="233" t="str">
        <f t="shared" si="215"/>
        <v>COMELCH</v>
      </c>
      <c r="G146" s="233" t="str">
        <f t="shared" si="215"/>
        <v>COMHRDB</v>
      </c>
      <c r="H146" s="259">
        <v>2019</v>
      </c>
      <c r="I146" s="250">
        <f t="shared" si="208"/>
        <v>2670.2999999999997</v>
      </c>
      <c r="J146" s="250">
        <f t="shared" si="209"/>
        <v>0</v>
      </c>
      <c r="K146" s="250">
        <f t="shared" si="210"/>
        <v>0</v>
      </c>
      <c r="L146" s="463">
        <v>1</v>
      </c>
      <c r="M146" s="463">
        <v>1</v>
      </c>
      <c r="N146" s="463">
        <v>1</v>
      </c>
      <c r="O146" s="244">
        <f t="shared" si="195"/>
        <v>3.1536000000000002E-2</v>
      </c>
      <c r="P146" s="459">
        <v>0.15</v>
      </c>
      <c r="Q146" s="245">
        <v>30</v>
      </c>
      <c r="R146" s="227">
        <v>1.05</v>
      </c>
      <c r="T146" s="268">
        <f t="shared" si="189"/>
        <v>12.631587120000001</v>
      </c>
      <c r="U146" s="268"/>
      <c r="V146" s="592" t="str">
        <f>'Data manipulation'!$B$33</f>
        <v>Electricity</v>
      </c>
      <c r="W146" s="254" t="s">
        <v>170</v>
      </c>
      <c r="X146" s="246">
        <v>2019</v>
      </c>
      <c r="Y146" s="433">
        <f>_xlfn.IFNA(INDEX('Data manipulation'!$C$23:$O$39,MATCH($V146,'Data manipulation'!$B$23:$B$39,0),MATCH($X146,'Data manipulation'!$C$22:$O$22,0))/1000,0)*SUMIFS('Regional split'!$F$4:$F$6,'Regional split'!$B$4:$B$6,Y$3)*SUMIFS('Data manipulation'!$V$39:$V$42,'Data manipulation'!$X$39:$X$42,$E146,'Data manipulation'!$Y$39:$Y$42,$D146)</f>
        <v>12.029686684446904</v>
      </c>
      <c r="Z146" s="270">
        <f>_xlfn.IFNA(INDEX('Data manipulation'!$C$23:$O$39,MATCH($V146,'Data manipulation'!$B$23:$B$39,0),MATCH($X146,'Data manipulation'!$C$22:$O$22,0))/1000,0)*SUMIFS('Regional split'!$F$4:$F$6,'Regional split'!$B$4:$B$6,Z$3)*SUMIFS('Data manipulation'!$V$39:$V$42,'Data manipulation'!$X$39:$X$42,$E146,'Data manipulation'!$Y$39:$Y$42,$D146)</f>
        <v>0</v>
      </c>
      <c r="AA146" s="455">
        <f>_xlfn.IFNA(INDEX('Data manipulation'!$C$23:$O$39,MATCH($V146,'Data manipulation'!$B$23:$B$39,0),MATCH($X146,'Data manipulation'!$C$22:$O$22,0))/1000,0)*SUMIFS('Regional split'!$F$4:$F$6,'Regional split'!$B$4:$B$6,AA$3)*SUMIFS('Data manipulation'!$V$39:$V$42,'Data manipulation'!$X$39:$X$42,$E146,'Data manipulation'!$Y$39:$Y$42,$D146)</f>
        <v>0</v>
      </c>
      <c r="AB146" s="444">
        <f t="shared" si="153"/>
        <v>12.029686684446904</v>
      </c>
      <c r="AC146" s="251">
        <f t="shared" si="154"/>
        <v>0</v>
      </c>
      <c r="AD146" s="445">
        <f t="shared" si="155"/>
        <v>0</v>
      </c>
      <c r="AU146" s="260"/>
      <c r="AZ146" s="252"/>
    </row>
    <row r="147" spans="2:52" ht="15" customHeight="1">
      <c r="B147" s="233" t="str">
        <f t="shared" ref="B147:G147" si="216">B107</f>
        <v>CHTRDELCHE2</v>
      </c>
      <c r="C147" s="233" t="str">
        <f t="shared" si="216"/>
        <v>Residential Heating Technology Rural Detached - Electricity Heating - Existing 2</v>
      </c>
      <c r="D147" s="233" t="str">
        <f t="shared" si="216"/>
        <v>Rural</v>
      </c>
      <c r="E147" s="233" t="str">
        <f t="shared" si="216"/>
        <v>Detached</v>
      </c>
      <c r="F147" s="233" t="str">
        <f t="shared" si="216"/>
        <v>COMELCH</v>
      </c>
      <c r="G147" s="233" t="str">
        <f t="shared" si="216"/>
        <v>COMHRDB</v>
      </c>
      <c r="H147" s="259">
        <v>2019</v>
      </c>
      <c r="I147" s="250">
        <f t="shared" si="208"/>
        <v>853.1</v>
      </c>
      <c r="J147" s="250">
        <f t="shared" si="209"/>
        <v>0</v>
      </c>
      <c r="K147" s="250">
        <f t="shared" si="210"/>
        <v>0</v>
      </c>
      <c r="L147" s="463">
        <v>2.3149999999999999</v>
      </c>
      <c r="M147" s="463">
        <v>2.3149999999999999</v>
      </c>
      <c r="N147" s="463">
        <v>2.3149999999999999</v>
      </c>
      <c r="O147" s="244">
        <f t="shared" si="195"/>
        <v>3.1536000000000002E-2</v>
      </c>
      <c r="P147" s="459">
        <v>0.15</v>
      </c>
      <c r="Q147" s="245">
        <v>30</v>
      </c>
      <c r="R147" s="227">
        <v>1.05</v>
      </c>
      <c r="T147" s="268">
        <f t="shared" si="189"/>
        <v>1.7431983758099356</v>
      </c>
      <c r="U147" s="268"/>
      <c r="V147" s="592" t="str">
        <f>'Data manipulation'!$B$30</f>
        <v>Ambient heat (heat pumps)</v>
      </c>
      <c r="W147" s="254" t="s">
        <v>171</v>
      </c>
      <c r="X147" s="246">
        <v>2019</v>
      </c>
      <c r="Y147" s="433">
        <f>_xlfn.IFNA(INDEX('Data manipulation'!$C$23:$O$39,MATCH($V147,'Data manipulation'!$B$23:$B$39,0),MATCH($X147,'Data manipulation'!$C$22:$O$22,0))/1000,0)*SUMIFS('Regional split'!$F$4:$F$6,'Regional split'!$B$4:$B$6,Y$3)*SUMIFS('Data manipulation'!$V$39:$V$42,'Data manipulation'!$X$39:$X$42,$E147,'Data manipulation'!$Y$39:$Y$42,$D147)</f>
        <v>1.6600438400000002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5">
        <f>_xlfn.IFNA(INDEX('Data manipulation'!$C$23:$O$39,MATCH($V147,'Data manipulation'!$B$23:$B$39,0),MATCH($X147,'Data manipulation'!$C$22:$O$22,0))/1000,0)*SUMIFS('Regional split'!$F$4:$F$6,'Regional split'!$B$4:$B$6,AA$3)*SUMIFS('Data manipulation'!$V$39:$V$42,'Data manipulation'!$X$39:$X$42,$E147,'Data manipulation'!$Y$39:$Y$42,$D147)</f>
        <v>0</v>
      </c>
      <c r="AB147" s="444">
        <f t="shared" si="153"/>
        <v>3.8430014896000002</v>
      </c>
      <c r="AC147" s="251">
        <f t="shared" si="154"/>
        <v>0</v>
      </c>
      <c r="AD147" s="445">
        <f t="shared" si="155"/>
        <v>0</v>
      </c>
      <c r="AU147" s="260"/>
      <c r="AZ147" s="252"/>
    </row>
    <row r="148" spans="2:52" ht="15" customHeight="1">
      <c r="B148" s="233" t="str">
        <f t="shared" ref="B148:G148" si="217">B108</f>
        <v>CHTRDHCEE1</v>
      </c>
      <c r="C148" s="233" t="str">
        <f t="shared" si="217"/>
        <v>Residential Heating Technology Rural Detached - District heating Central - Existing 1</v>
      </c>
      <c r="D148" s="233" t="str">
        <f t="shared" si="217"/>
        <v>Rural</v>
      </c>
      <c r="E148" s="233" t="str">
        <f t="shared" si="217"/>
        <v>Detached</v>
      </c>
      <c r="F148" s="233" t="str">
        <f t="shared" si="217"/>
        <v>COMHDE</v>
      </c>
      <c r="G148" s="233" t="str">
        <f t="shared" si="217"/>
        <v>COMHRDB</v>
      </c>
      <c r="H148" s="261">
        <v>2019</v>
      </c>
      <c r="I148" s="568">
        <v>0</v>
      </c>
      <c r="J148" s="568">
        <v>0</v>
      </c>
      <c r="K148" s="568">
        <v>0</v>
      </c>
      <c r="L148" s="463">
        <v>0.98</v>
      </c>
      <c r="M148" s="463">
        <v>0.98</v>
      </c>
      <c r="N148" s="463">
        <v>0.98</v>
      </c>
      <c r="O148" s="244">
        <f t="shared" si="195"/>
        <v>3.1536000000000002E-2</v>
      </c>
      <c r="P148" s="459">
        <v>0.15</v>
      </c>
      <c r="Q148" s="245">
        <v>30</v>
      </c>
      <c r="R148" s="227">
        <v>1.05</v>
      </c>
      <c r="T148" s="268">
        <f t="shared" si="189"/>
        <v>0</v>
      </c>
      <c r="U148" s="268"/>
      <c r="V148" s="592" t="str">
        <f>'Data manipulation'!$B$34</f>
        <v>Heat</v>
      </c>
      <c r="W148" s="254" t="s">
        <v>172</v>
      </c>
      <c r="X148" s="246">
        <v>2019</v>
      </c>
      <c r="Y148" s="433">
        <f>_xlfn.IFNA(INDEX('Data manipulation'!$C$23:$O$39,MATCH($V148,'Data manipulation'!$B$23:$B$39,0),MATCH($X148,'Data manipulation'!$C$22:$O$22,0))/1000,0)*SUMIFS('Regional split'!$F$4:$F$6,'Regional split'!$B$4:$B$6,Y$3)*SUMIFS('Data manipulation'!$V$39:$V$42,'Data manipulation'!$X$39:$X$42,$E148,'Data manipulation'!$Y$39:$Y$42,$D148)</f>
        <v>23.08614142144954</v>
      </c>
      <c r="Z148" s="270">
        <f>_xlfn.IFNA(INDEX('Data manipulation'!$C$23:$O$39,MATCH($V148,'Data manipulation'!$B$23:$B$39,0),MATCH($X148,'Data manipulation'!$C$22:$O$22,0))/1000,0)*SUMIFS('Regional split'!$F$4:$F$6,'Regional split'!$B$4:$B$6,Z$3)*SUMIFS('Data manipulation'!$V$39:$V$42,'Data manipulation'!$X$39:$X$42,$E148,'Data manipulation'!$Y$39:$Y$42,$D148)</f>
        <v>0</v>
      </c>
      <c r="AA148" s="455">
        <f>_xlfn.IFNA(INDEX('Data manipulation'!$C$23:$O$39,MATCH($V148,'Data manipulation'!$B$23:$B$39,0),MATCH($X148,'Data manipulation'!$C$22:$O$22,0))/1000,0)*SUMIFS('Regional split'!$F$4:$F$6,'Regional split'!$B$4:$B$6,AA$3)*SUMIFS('Data manipulation'!$V$39:$V$42,'Data manipulation'!$X$39:$X$42,$E148,'Data manipulation'!$Y$39:$Y$42,$D148)</f>
        <v>0</v>
      </c>
      <c r="AB148" s="444">
        <f t="shared" si="153"/>
        <v>22.624418593020547</v>
      </c>
      <c r="AC148" s="251">
        <f t="shared" si="154"/>
        <v>0</v>
      </c>
      <c r="AD148" s="445">
        <f t="shared" si="155"/>
        <v>0</v>
      </c>
      <c r="AU148" s="260"/>
      <c r="AZ148" s="252"/>
    </row>
    <row r="149" spans="2:52" ht="15" customHeight="1" thickBot="1">
      <c r="B149" s="233" t="str">
        <f t="shared" ref="B149:G149" si="218">B109</f>
        <v>CHTRDLPGE1</v>
      </c>
      <c r="C149" s="233" t="str">
        <f t="shared" si="218"/>
        <v>Residential Heating Technology Rural Detached - LPG - Existing 1</v>
      </c>
      <c r="D149" s="233" t="str">
        <f t="shared" si="218"/>
        <v>Rural</v>
      </c>
      <c r="E149" s="233" t="str">
        <f t="shared" si="218"/>
        <v>Detached</v>
      </c>
      <c r="F149" s="233" t="str">
        <f t="shared" si="218"/>
        <v>COMLPG</v>
      </c>
      <c r="G149" s="233" t="str">
        <f t="shared" si="218"/>
        <v>COMHRDB</v>
      </c>
      <c r="H149" s="261">
        <v>2019</v>
      </c>
      <c r="I149" s="297">
        <f t="shared" ref="I149" si="219">ROUNDUP(AB149/($O149*$P149)*$R149,1)</f>
        <v>628.5</v>
      </c>
      <c r="J149" s="297">
        <f t="shared" ref="J149" si="220">ROUNDUP(AC149/($O149*$P149)*$R149,1)</f>
        <v>0</v>
      </c>
      <c r="K149" s="297">
        <f t="shared" ref="K149" si="221">ROUNDUP(AD149/($O149*$P149)*$R149,1)</f>
        <v>0</v>
      </c>
      <c r="L149" s="463">
        <v>0.98</v>
      </c>
      <c r="M149" s="463">
        <v>0.98</v>
      </c>
      <c r="N149" s="463">
        <v>0.98</v>
      </c>
      <c r="O149" s="244">
        <f t="shared" si="195"/>
        <v>3.1536000000000002E-2</v>
      </c>
      <c r="P149" s="459">
        <v>0.15</v>
      </c>
      <c r="Q149" s="245">
        <v>30</v>
      </c>
      <c r="R149" s="227">
        <v>1.05</v>
      </c>
      <c r="T149" s="268">
        <f t="shared" si="189"/>
        <v>3.0337310204081631</v>
      </c>
      <c r="U149" s="268"/>
      <c r="V149" s="593" t="str">
        <f>'Data manipulation'!$B$25</f>
        <v>Liquefied natural gas</v>
      </c>
      <c r="W149" s="428" t="s">
        <v>771</v>
      </c>
      <c r="X149" s="246">
        <v>2019</v>
      </c>
      <c r="Y149" s="434">
        <f>_xlfn.IFNA(INDEX('Data manipulation'!$C$23:$O$39,MATCH($V149,'Data manipulation'!$B$23:$B$39,0),MATCH($X149,'Data manipulation'!$C$22:$O$22,0))/1000,0)*SUMIFS('Regional split'!$F$4:$F$6,'Regional split'!$B$4:$B$6,Y$3)*SUMIFS('Data manipulation'!$V$39:$V$42,'Data manipulation'!$X$39:$X$42,$E149,'Data manipulation'!$Y$39:$Y$42,$D149)</f>
        <v>2.8891881054588238</v>
      </c>
      <c r="Z149" s="431">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6">
        <f t="shared" si="153"/>
        <v>2.8314043433496474</v>
      </c>
      <c r="AC149" s="432">
        <f t="shared" si="154"/>
        <v>0</v>
      </c>
      <c r="AD149" s="453">
        <f t="shared" si="155"/>
        <v>0</v>
      </c>
      <c r="AU149" s="260"/>
      <c r="AZ149" s="252"/>
    </row>
    <row r="150" spans="2:52" ht="15" customHeight="1">
      <c r="B150" s="227" t="str">
        <f t="shared" ref="B150:E150" si="222">B110</f>
        <v>CHTUMNGAE1</v>
      </c>
      <c r="C150" s="227" t="str">
        <f t="shared" si="222"/>
        <v>Residential Heating Technology Urban Multi - Natural Gas - Existing 1</v>
      </c>
      <c r="D150" s="227" t="str">
        <f t="shared" si="222"/>
        <v>Urban</v>
      </c>
      <c r="E150" s="227" t="str">
        <f t="shared" si="222"/>
        <v>Multi storey</v>
      </c>
      <c r="F150" s="227" t="str">
        <f>F110</f>
        <v>COMNGA,COMSNG</v>
      </c>
      <c r="G150" s="227" t="str">
        <f>G110</f>
        <v>COMHUMB</v>
      </c>
      <c r="H150" s="230">
        <v>2019</v>
      </c>
      <c r="I150" s="250">
        <f>ROUNDUP(AB150/($O150*$P150)*$R150,1)</f>
        <v>14412.1</v>
      </c>
      <c r="J150" s="250">
        <f>ROUNDUP(AC150/($O150*$P150)*$R150,1)</f>
        <v>0</v>
      </c>
      <c r="K150" s="250">
        <f>ROUNDUP(AD150/($O150*$P150)*$R150,1)</f>
        <v>0</v>
      </c>
      <c r="L150" s="463">
        <v>0.72</v>
      </c>
      <c r="M150" s="463">
        <v>0.72</v>
      </c>
      <c r="N150" s="463">
        <v>0.72</v>
      </c>
      <c r="O150" s="244">
        <f>31.536/1000</f>
        <v>3.1536000000000002E-2</v>
      </c>
      <c r="P150" s="459">
        <v>0.15</v>
      </c>
      <c r="Q150" s="245">
        <v>22</v>
      </c>
      <c r="R150" s="227">
        <v>1.05</v>
      </c>
      <c r="T150" s="268">
        <f t="shared" si="189"/>
        <v>94.687497000000008</v>
      </c>
      <c r="U150" s="268"/>
      <c r="V150" s="592" t="str">
        <f>'Data manipulation'!$B$36</f>
        <v>Natural gas and biogas</v>
      </c>
      <c r="W150" s="246" t="s">
        <v>168</v>
      </c>
      <c r="X150" s="246">
        <v>2019</v>
      </c>
      <c r="Y150" s="433">
        <f>_xlfn.IFNA(INDEX('Data manipulation'!$C$23:$O$39,MATCH($V150,'Data manipulation'!$B$23:$B$39,0),MATCH($X150,'Data manipulation'!$C$22:$O$22,0))/1000,0)*SUMIFS('Regional split'!$F$4:$F$6,'Regional split'!$B$4:$B$6,Y$3)*SUMIFS('Data manipulation'!$V$39:$V$42,'Data manipulation'!$X$39:$X$42,$E150,'Data manipulation'!$Y$39:$Y$42,$D150)</f>
        <v>90.178564125140909</v>
      </c>
      <c r="Z150" s="270">
        <f>_xlfn.IFNA(INDEX('Data manipulation'!$C$23:$O$39,MATCH($V150,'Data manipulation'!$B$23:$B$39,0),MATCH($X150,'Data manipulation'!$C$22:$O$22,0))/1000,0)*SUMIFS('Regional split'!$F$4:$F$6,'Regional split'!$B$4:$B$6,Z$3)*SUMIFS('Data manipulation'!$V$39:$V$42,'Data manipulation'!$X$39:$X$42,$E150,'Data manipulation'!$Y$39:$Y$42,$D150)</f>
        <v>0</v>
      </c>
      <c r="AA150" s="455">
        <f>_xlfn.IFNA(INDEX('Data manipulation'!$C$23:$O$39,MATCH($V150,'Data manipulation'!$B$23:$B$39,0),MATCH($X150,'Data manipulation'!$C$22:$O$22,0))/1000,0)*SUMIFS('Regional split'!$F$4:$F$6,'Regional split'!$B$4:$B$6,AA$3)*SUMIFS('Data manipulation'!$V$39:$V$42,'Data manipulation'!$X$39:$X$42,$E150,'Data manipulation'!$Y$39:$Y$42,$D150)</f>
        <v>0</v>
      </c>
      <c r="AB150" s="444">
        <f t="shared" ref="AB150:AB169" si="223">Y150*L150</f>
        <v>64.928566170101448</v>
      </c>
      <c r="AC150" s="251">
        <f t="shared" ref="AC150:AC169" si="224">Z150*M150</f>
        <v>0</v>
      </c>
      <c r="AD150" s="445">
        <f t="shared" ref="AD150:AD169" si="225">AA150*N150</f>
        <v>0</v>
      </c>
      <c r="AE150" s="262"/>
      <c r="AU150" s="260"/>
      <c r="AZ150" s="252"/>
    </row>
    <row r="151" spans="2:52" ht="15" customHeight="1">
      <c r="B151" s="227" t="str">
        <f t="shared" ref="B151:G151" si="226">B111</f>
        <v>CHTUMDSLE1</v>
      </c>
      <c r="C151" s="227" t="str">
        <f t="shared" si="226"/>
        <v>Residential Heating Technology Urban Multi - Diesel - Existing 1</v>
      </c>
      <c r="D151" s="227" t="str">
        <f t="shared" si="226"/>
        <v>Urban</v>
      </c>
      <c r="E151" s="227" t="str">
        <f t="shared" si="226"/>
        <v>Multi storey</v>
      </c>
      <c r="F151" s="227" t="str">
        <f t="shared" si="226"/>
        <v>COMDSL,COMDSB</v>
      </c>
      <c r="G151" s="227" t="str">
        <f t="shared" si="226"/>
        <v>COMHUMB</v>
      </c>
      <c r="H151" s="230">
        <v>2019</v>
      </c>
      <c r="I151" s="250">
        <f t="shared" ref="I151:I158" si="227">ROUNDUP(AB151/($O151*$P151)*$R151,1)</f>
        <v>0</v>
      </c>
      <c r="J151" s="250">
        <f t="shared" ref="J151:J157" si="228">ROUNDUP(AC151/($O151*$P151)*$R151,1)</f>
        <v>0</v>
      </c>
      <c r="K151" s="250">
        <f t="shared" ref="K151:K157" si="229">ROUNDUP(AD151/($O151*$P151)*$R151,1)</f>
        <v>0</v>
      </c>
      <c r="L151" s="463">
        <v>0.71</v>
      </c>
      <c r="M151" s="463">
        <v>0.71</v>
      </c>
      <c r="N151" s="463">
        <v>0.71</v>
      </c>
      <c r="O151" s="244">
        <f>31.536/1000</f>
        <v>3.1536000000000002E-2</v>
      </c>
      <c r="P151" s="459">
        <v>0.15</v>
      </c>
      <c r="Q151" s="245">
        <v>20</v>
      </c>
      <c r="R151" s="227">
        <v>1.05</v>
      </c>
      <c r="T151" s="268">
        <f t="shared" si="189"/>
        <v>0</v>
      </c>
      <c r="V151" s="592" t="str">
        <f>'Data manipulation'!$B$35</f>
        <v>Oil products</v>
      </c>
      <c r="W151" s="254" t="s">
        <v>729</v>
      </c>
      <c r="X151" s="246">
        <v>2019</v>
      </c>
      <c r="Y151" s="433">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5">
        <f>_xlfn.IFNA(INDEX('Data manipulation'!$C$23:$O$39,MATCH($V151,'Data manipulation'!$B$23:$B$39,0),MATCH($X151,'Data manipulation'!$C$22:$O$22,0))/1000,0)*SUMIFS('Regional split'!$F$4:$F$6,'Regional split'!$B$4:$B$6,AA$3)*SUMIFS('Data manipulation'!$V$39:$V$42,'Data manipulation'!$X$39:$X$42,$E151,'Data manipulation'!$Y$39:$Y$42,$D151)</f>
        <v>0</v>
      </c>
      <c r="AB151" s="444">
        <f t="shared" si="223"/>
        <v>0</v>
      </c>
      <c r="AC151" s="251">
        <f t="shared" si="224"/>
        <v>0</v>
      </c>
      <c r="AD151" s="445">
        <f t="shared" si="225"/>
        <v>0</v>
      </c>
      <c r="AE151" s="262"/>
      <c r="AU151" s="260"/>
      <c r="AZ151" s="252"/>
    </row>
    <row r="152" spans="2:52" ht="15" customHeight="1">
      <c r="B152" s="227" t="str">
        <f t="shared" ref="B152:G152" si="230">B112</f>
        <v>CHTUMWPEE1</v>
      </c>
      <c r="C152" s="227" t="str">
        <f t="shared" si="230"/>
        <v>Residential Heating Technology Urban Multi - Wood pellets - Existing 1</v>
      </c>
      <c r="D152" s="227" t="str">
        <f t="shared" si="230"/>
        <v>Urban</v>
      </c>
      <c r="E152" s="227" t="str">
        <f t="shared" si="230"/>
        <v>Multi storey</v>
      </c>
      <c r="F152" s="227" t="str">
        <f t="shared" si="230"/>
        <v>COMWPE</v>
      </c>
      <c r="G152" s="227" t="str">
        <f t="shared" si="230"/>
        <v>COMHUMB</v>
      </c>
      <c r="H152" s="230">
        <v>2019</v>
      </c>
      <c r="I152" s="250">
        <f t="shared" si="227"/>
        <v>0</v>
      </c>
      <c r="J152" s="250">
        <f t="shared" si="228"/>
        <v>0</v>
      </c>
      <c r="K152" s="250">
        <f t="shared" si="229"/>
        <v>0</v>
      </c>
      <c r="L152" s="463">
        <v>0.61</v>
      </c>
      <c r="M152" s="463">
        <v>0.61</v>
      </c>
      <c r="N152" s="463">
        <v>0.61</v>
      </c>
      <c r="O152" s="244">
        <f t="shared" ref="O152:O169" si="231">31.536/1000</f>
        <v>3.1536000000000002E-2</v>
      </c>
      <c r="P152" s="459">
        <v>0.15</v>
      </c>
      <c r="Q152" s="245">
        <v>20</v>
      </c>
      <c r="R152" s="227">
        <v>1.05</v>
      </c>
      <c r="T152" s="268">
        <f t="shared" si="189"/>
        <v>0</v>
      </c>
      <c r="U152" s="268"/>
      <c r="W152" s="254" t="s">
        <v>866</v>
      </c>
      <c r="X152" s="246">
        <v>2019</v>
      </c>
      <c r="Y152" s="433">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5">
        <f>_xlfn.IFNA(INDEX('Data manipulation'!$C$23:$O$39,MATCH($V152,'Data manipulation'!$B$23:$B$39,0),MATCH($X152,'Data manipulation'!$C$22:$O$22,0))/1000,0)*SUMIFS('Regional split'!$F$4:$F$6,'Regional split'!$B$4:$B$6,AA$3)*SUMIFS('Data manipulation'!$V$39:$V$42,'Data manipulation'!$X$39:$X$42,$E152,'Data manipulation'!$Y$39:$Y$42,$D152)</f>
        <v>0</v>
      </c>
      <c r="AB152" s="444">
        <f t="shared" si="223"/>
        <v>0</v>
      </c>
      <c r="AC152" s="251">
        <f t="shared" si="224"/>
        <v>0</v>
      </c>
      <c r="AD152" s="445">
        <f t="shared" si="225"/>
        <v>0</v>
      </c>
      <c r="AE152" s="262"/>
      <c r="AU152" s="260"/>
      <c r="AZ152" s="252"/>
    </row>
    <row r="153" spans="2:52" ht="15" customHeight="1">
      <c r="B153" s="227" t="str">
        <f t="shared" ref="B153:G153" si="232">B113</f>
        <v>CHTUMFIWE1</v>
      </c>
      <c r="C153" s="227" t="str">
        <f t="shared" si="232"/>
        <v>Residential Heating Technology Urban Multi - Fire wood - Existing 1</v>
      </c>
      <c r="D153" s="227" t="str">
        <f t="shared" si="232"/>
        <v>Urban</v>
      </c>
      <c r="E153" s="227" t="str">
        <f t="shared" si="232"/>
        <v>Multi storey</v>
      </c>
      <c r="F153" s="227" t="str">
        <f t="shared" si="232"/>
        <v>COMFIW</v>
      </c>
      <c r="G153" s="227" t="str">
        <f t="shared" si="232"/>
        <v>COMHUMB</v>
      </c>
      <c r="H153" s="230">
        <v>2019</v>
      </c>
      <c r="I153" s="250">
        <f t="shared" si="227"/>
        <v>2233.1999999999998</v>
      </c>
      <c r="J153" s="250">
        <f t="shared" si="228"/>
        <v>0</v>
      </c>
      <c r="K153" s="250">
        <f t="shared" si="229"/>
        <v>0</v>
      </c>
      <c r="L153" s="463">
        <v>0.65000022993955098</v>
      </c>
      <c r="M153" s="463">
        <v>0.65000022993955098</v>
      </c>
      <c r="N153" s="463">
        <v>0.65000022993955098</v>
      </c>
      <c r="O153" s="244">
        <f t="shared" si="231"/>
        <v>3.1536000000000002E-2</v>
      </c>
      <c r="P153" s="459">
        <v>0.15</v>
      </c>
      <c r="Q153" s="245">
        <v>20</v>
      </c>
      <c r="R153" s="227">
        <v>1.05</v>
      </c>
      <c r="T153" s="268">
        <f t="shared" si="189"/>
        <v>16.252193143043083</v>
      </c>
      <c r="U153" s="268"/>
      <c r="V153" s="592" t="str">
        <f>'Data manipulation'!$B$31</f>
        <v>Primary solid biofuels</v>
      </c>
      <c r="W153" s="254" t="s">
        <v>177</v>
      </c>
      <c r="X153" s="246">
        <v>2019</v>
      </c>
      <c r="Y153" s="433">
        <f>_xlfn.IFNA(INDEX('Data manipulation'!$C$23:$O$39,MATCH($V153,'Data manipulation'!$B$23:$B$39,0),MATCH($X153,'Data manipulation'!$C$22:$O$22,0))/1000,0)*SUMIFS('Regional split'!$F$4:$F$6,'Regional split'!$B$4:$B$6,Y$3)*SUMIFS('Data manipulation'!$V$39:$V$42,'Data manipulation'!$X$39:$X$42,$E153,'Data manipulation'!$Y$39:$Y$42,$D153)</f>
        <v>15.478031711198737</v>
      </c>
      <c r="Z153" s="270">
        <f>_xlfn.IFNA(INDEX('Data manipulation'!$C$23:$O$39,MATCH($V153,'Data manipulation'!$B$23:$B$39,0),MATCH($X153,'Data manipulation'!$C$22:$O$22,0))/1000,0)*SUMIFS('Regional split'!$F$4:$F$6,'Regional split'!$B$4:$B$6,Z$3)*SUMIFS('Data manipulation'!$V$39:$V$42,'Data manipulation'!$X$39:$X$42,$E153,'Data manipulation'!$Y$39:$Y$42,$D153)</f>
        <v>0</v>
      </c>
      <c r="AA153" s="455">
        <f>_xlfn.IFNA(INDEX('Data manipulation'!$C$23:$O$39,MATCH($V153,'Data manipulation'!$B$23:$B$39,0),MATCH($X153,'Data manipulation'!$C$22:$O$22,0))/1000,0)*SUMIFS('Regional split'!$F$4:$F$6,'Regional split'!$B$4:$B$6,AA$3)*SUMIFS('Data manipulation'!$V$39:$V$42,'Data manipulation'!$X$39:$X$42,$E153,'Data manipulation'!$Y$39:$Y$42,$D153)</f>
        <v>0</v>
      </c>
      <c r="AB153" s="444">
        <f t="shared" si="223"/>
        <v>10.060724171290842</v>
      </c>
      <c r="AC153" s="251">
        <f t="shared" si="224"/>
        <v>0</v>
      </c>
      <c r="AD153" s="445">
        <f t="shared" si="225"/>
        <v>0</v>
      </c>
      <c r="AE153" s="262"/>
      <c r="AU153" s="260"/>
      <c r="AZ153" s="252"/>
    </row>
    <row r="154" spans="2:52" ht="15" customHeight="1">
      <c r="B154" s="233" t="str">
        <f t="shared" ref="B154:G154" si="233">B114</f>
        <v>CHTUMCOAE1</v>
      </c>
      <c r="C154" s="233" t="str">
        <f t="shared" si="233"/>
        <v>Residential Heating Technology Urban Multi - Coal - Existing 1</v>
      </c>
      <c r="D154" s="233" t="str">
        <f t="shared" si="233"/>
        <v>Urban</v>
      </c>
      <c r="E154" s="233" t="str">
        <f t="shared" si="233"/>
        <v>Multi storey</v>
      </c>
      <c r="F154" s="233" t="str">
        <f t="shared" si="233"/>
        <v>COMCOA</v>
      </c>
      <c r="G154" s="233" t="str">
        <f t="shared" si="233"/>
        <v>COMHUMB</v>
      </c>
      <c r="H154" s="230">
        <v>2019</v>
      </c>
      <c r="I154" s="250">
        <f t="shared" si="227"/>
        <v>3.4</v>
      </c>
      <c r="J154" s="250">
        <f t="shared" si="228"/>
        <v>0</v>
      </c>
      <c r="K154" s="250">
        <f t="shared" si="229"/>
        <v>0</v>
      </c>
      <c r="L154" s="463">
        <v>0.7</v>
      </c>
      <c r="M154" s="463">
        <v>0.7</v>
      </c>
      <c r="N154" s="463">
        <v>0.7</v>
      </c>
      <c r="O154" s="244">
        <f t="shared" si="231"/>
        <v>3.1536000000000002E-2</v>
      </c>
      <c r="P154" s="459">
        <v>0.15</v>
      </c>
      <c r="Q154" s="245">
        <v>20</v>
      </c>
      <c r="R154" s="227">
        <v>1.05</v>
      </c>
      <c r="T154" s="268">
        <f t="shared" si="189"/>
        <v>2.2976228571428569E-2</v>
      </c>
      <c r="U154" s="268"/>
      <c r="V154" s="592" t="str">
        <f>'Data manipulation'!$B$23</f>
        <v>Solid fossil fuels, peat, peat products, oil shale and oil sands</v>
      </c>
      <c r="W154" s="254" t="s">
        <v>863</v>
      </c>
      <c r="X154" s="246">
        <v>2019</v>
      </c>
      <c r="Y154" s="433">
        <f>_xlfn.IFNA(INDEX('Data manipulation'!$C$23:$O$39,MATCH($V154,'Data manipulation'!$B$23:$B$39,0),MATCH($X154,'Data manipulation'!$C$22:$O$22,0))/1000,0)*SUMIFS('Regional split'!$F$4:$F$6,'Regional split'!$B$4:$B$6,Y$3)*SUMIFS('Data manipulation'!$V$39:$V$42,'Data manipulation'!$X$39:$X$42,$E154,'Data manipulation'!$Y$39:$Y$42,$D154)</f>
        <v>2.1325676000000002E-2</v>
      </c>
      <c r="Z154" s="270">
        <f>_xlfn.IFNA(INDEX('Data manipulation'!$C$23:$O$39,MATCH($V154,'Data manipulation'!$B$23:$B$39,0),MATCH($X154,'Data manipulation'!$C$22:$O$22,0))/1000,0)*SUMIFS('Regional split'!$F$4:$F$6,'Regional split'!$B$4:$B$6,Z$3)*SUMIFS('Data manipulation'!$V$39:$V$42,'Data manipulation'!$X$39:$X$42,$E154,'Data manipulation'!$Y$39:$Y$42,$D154)</f>
        <v>0</v>
      </c>
      <c r="AA154" s="455">
        <f>_xlfn.IFNA(INDEX('Data manipulation'!$C$23:$O$39,MATCH($V154,'Data manipulation'!$B$23:$B$39,0),MATCH($X154,'Data manipulation'!$C$22:$O$22,0))/1000,0)*SUMIFS('Regional split'!$F$4:$F$6,'Regional split'!$B$4:$B$6,AA$3)*SUMIFS('Data manipulation'!$V$39:$V$42,'Data manipulation'!$X$39:$X$42,$E154,'Data manipulation'!$Y$39:$Y$42,$D154)</f>
        <v>0</v>
      </c>
      <c r="AB154" s="444">
        <f t="shared" si="223"/>
        <v>1.49279732E-2</v>
      </c>
      <c r="AC154" s="251">
        <f t="shared" si="224"/>
        <v>0</v>
      </c>
      <c r="AD154" s="445">
        <f t="shared" si="225"/>
        <v>0</v>
      </c>
      <c r="AE154" s="262"/>
      <c r="AU154" s="260"/>
      <c r="AZ154" s="252"/>
    </row>
    <row r="155" spans="2:52" ht="15" customHeight="1">
      <c r="B155" s="233" t="str">
        <f t="shared" ref="B155:G155" si="234">B115</f>
        <v>CHTUMSOLE1</v>
      </c>
      <c r="C155" s="233" t="str">
        <f t="shared" si="234"/>
        <v>Residential Heating Technology Urban Multi - Solar - Existing 1</v>
      </c>
      <c r="D155" s="233" t="str">
        <f t="shared" si="234"/>
        <v>Urban</v>
      </c>
      <c r="E155" s="233" t="str">
        <f t="shared" si="234"/>
        <v>Multi storey</v>
      </c>
      <c r="F155" s="233" t="str">
        <f t="shared" si="234"/>
        <v>COMSOL</v>
      </c>
      <c r="G155" s="233" t="str">
        <f t="shared" si="234"/>
        <v>COMHUMB</v>
      </c>
      <c r="H155" s="230">
        <v>2019</v>
      </c>
      <c r="I155" s="250">
        <f t="shared" si="227"/>
        <v>10.199999999999999</v>
      </c>
      <c r="J155" s="250">
        <f t="shared" si="228"/>
        <v>0</v>
      </c>
      <c r="K155" s="250">
        <f t="shared" si="229"/>
        <v>0</v>
      </c>
      <c r="L155" s="463">
        <v>1</v>
      </c>
      <c r="M155" s="463">
        <v>1</v>
      </c>
      <c r="N155" s="463">
        <v>1</v>
      </c>
      <c r="O155" s="244">
        <f t="shared" si="231"/>
        <v>3.1536000000000002E-2</v>
      </c>
      <c r="P155" s="459">
        <v>0.15</v>
      </c>
      <c r="Q155" s="245">
        <v>20</v>
      </c>
      <c r="R155" s="227">
        <v>1.05</v>
      </c>
      <c r="T155" s="268">
        <f t="shared" si="189"/>
        <v>4.8250079999999994E-2</v>
      </c>
      <c r="U155" s="268"/>
      <c r="V155" s="592" t="str">
        <f>'Data manipulation'!$B$29</f>
        <v>Solar thermal</v>
      </c>
      <c r="W155" s="254" t="s">
        <v>169</v>
      </c>
      <c r="X155" s="246">
        <v>2019</v>
      </c>
      <c r="Y155" s="433">
        <f>_xlfn.IFNA(INDEX('Data manipulation'!$C$23:$O$39,MATCH($V155,'Data manipulation'!$B$23:$B$39,0),MATCH($X155,'Data manipulation'!$C$22:$O$22,0))/1000,0)*SUMIFS('Regional split'!$F$4:$F$6,'Regional split'!$B$4:$B$6,Y$3)*SUMIFS('Data manipulation'!$V$39:$V$42,'Data manipulation'!$X$39:$X$42,$E155,'Data manipulation'!$Y$39:$Y$42,$D155)</f>
        <v>4.5866768000000009E-2</v>
      </c>
      <c r="Z155" s="270">
        <f>_xlfn.IFNA(INDEX('Data manipulation'!$C$23:$O$39,MATCH($V155,'Data manipulation'!$B$23:$B$39,0),MATCH($X155,'Data manipulation'!$C$22:$O$22,0))/1000,0)*SUMIFS('Regional split'!$F$4:$F$6,'Regional split'!$B$4:$B$6,Z$3)*SUMIFS('Data manipulation'!$V$39:$V$42,'Data manipulation'!$X$39:$X$42,$E155,'Data manipulation'!$Y$39:$Y$42,$D155)</f>
        <v>0</v>
      </c>
      <c r="AA155" s="455">
        <f>_xlfn.IFNA(INDEX('Data manipulation'!$C$23:$O$39,MATCH($V155,'Data manipulation'!$B$23:$B$39,0),MATCH($X155,'Data manipulation'!$C$22:$O$22,0))/1000,0)*SUMIFS('Regional split'!$F$4:$F$6,'Regional split'!$B$4:$B$6,AA$3)*SUMIFS('Data manipulation'!$V$39:$V$42,'Data manipulation'!$X$39:$X$42,$E155,'Data manipulation'!$Y$39:$Y$42,$D155)</f>
        <v>0</v>
      </c>
      <c r="AB155" s="444">
        <f t="shared" si="223"/>
        <v>4.5866768000000009E-2</v>
      </c>
      <c r="AC155" s="251">
        <f t="shared" si="224"/>
        <v>0</v>
      </c>
      <c r="AD155" s="445">
        <f t="shared" si="225"/>
        <v>0</v>
      </c>
      <c r="AE155" s="262"/>
      <c r="AU155" s="260"/>
      <c r="AZ155" s="252"/>
    </row>
    <row r="156" spans="2:52" ht="15" customHeight="1">
      <c r="B156" s="233" t="str">
        <f t="shared" ref="B156:G156" si="235">B116</f>
        <v>CHTUMELCHE1</v>
      </c>
      <c r="C156" s="233" t="str">
        <f t="shared" si="235"/>
        <v>Residential Heating Technology Urban Multi - Electricity Heating - Existing 1</v>
      </c>
      <c r="D156" s="233" t="str">
        <f t="shared" si="235"/>
        <v>Urban</v>
      </c>
      <c r="E156" s="233" t="str">
        <f t="shared" si="235"/>
        <v>Multi storey</v>
      </c>
      <c r="F156" s="233" t="str">
        <f t="shared" si="235"/>
        <v>COMELCH</v>
      </c>
      <c r="G156" s="233" t="str">
        <f t="shared" si="235"/>
        <v>COMHUMB</v>
      </c>
      <c r="H156" s="230">
        <v>2019</v>
      </c>
      <c r="I156" s="250">
        <f t="shared" si="227"/>
        <v>1696.5</v>
      </c>
      <c r="J156" s="250">
        <f t="shared" si="228"/>
        <v>0</v>
      </c>
      <c r="K156" s="250">
        <f t="shared" si="229"/>
        <v>0</v>
      </c>
      <c r="L156" s="463">
        <v>1</v>
      </c>
      <c r="M156" s="463">
        <v>1</v>
      </c>
      <c r="N156" s="463">
        <v>1</v>
      </c>
      <c r="O156" s="244">
        <f t="shared" si="231"/>
        <v>3.1536000000000002E-2</v>
      </c>
      <c r="P156" s="459">
        <v>0.15</v>
      </c>
      <c r="Q156" s="245">
        <v>30</v>
      </c>
      <c r="R156" s="227">
        <v>1.05</v>
      </c>
      <c r="T156" s="268">
        <f t="shared" si="189"/>
        <v>8.0251236000000006</v>
      </c>
      <c r="U156" s="268"/>
      <c r="V156" s="592" t="str">
        <f>'Data manipulation'!$B$33</f>
        <v>Electricity</v>
      </c>
      <c r="W156" s="254" t="s">
        <v>170</v>
      </c>
      <c r="X156" s="246">
        <v>2019</v>
      </c>
      <c r="Y156" s="433">
        <f>_xlfn.IFNA(INDEX('Data manipulation'!$C$23:$O$39,MATCH($V156,'Data manipulation'!$B$23:$B$39,0),MATCH($X156,'Data manipulation'!$C$22:$O$22,0))/1000,0)*SUMIFS('Regional split'!$F$4:$F$6,'Regional split'!$B$4:$B$6,Y$3)*SUMIFS('Data manipulation'!$V$39:$V$42,'Data manipulation'!$X$39:$X$42,$E156,'Data manipulation'!$Y$39:$Y$42,$D156)</f>
        <v>7.6427137880545706</v>
      </c>
      <c r="Z156" s="270">
        <f>_xlfn.IFNA(INDEX('Data manipulation'!$C$23:$O$39,MATCH($V156,'Data manipulation'!$B$23:$B$39,0),MATCH($X156,'Data manipulation'!$C$22:$O$22,0))/1000,0)*SUMIFS('Regional split'!$F$4:$F$6,'Regional split'!$B$4:$B$6,Z$3)*SUMIFS('Data manipulation'!$V$39:$V$42,'Data manipulation'!$X$39:$X$42,$E156,'Data manipulation'!$Y$39:$Y$42,$D156)</f>
        <v>0</v>
      </c>
      <c r="AA156" s="455">
        <f>_xlfn.IFNA(INDEX('Data manipulation'!$C$23:$O$39,MATCH($V156,'Data manipulation'!$B$23:$B$39,0),MATCH($X156,'Data manipulation'!$C$22:$O$22,0))/1000,0)*SUMIFS('Regional split'!$F$4:$F$6,'Regional split'!$B$4:$B$6,AA$3)*SUMIFS('Data manipulation'!$V$39:$V$42,'Data manipulation'!$X$39:$X$42,$E156,'Data manipulation'!$Y$39:$Y$42,$D156)</f>
        <v>0</v>
      </c>
      <c r="AB156" s="444">
        <f t="shared" si="223"/>
        <v>7.6427137880545706</v>
      </c>
      <c r="AC156" s="251">
        <f t="shared" si="224"/>
        <v>0</v>
      </c>
      <c r="AD156" s="445">
        <f t="shared" si="225"/>
        <v>0</v>
      </c>
      <c r="AU156" s="260"/>
      <c r="AZ156" s="252"/>
    </row>
    <row r="157" spans="2:52" ht="15" customHeight="1">
      <c r="B157" s="233" t="str">
        <f t="shared" ref="B157:G157" si="236">B117</f>
        <v>CHTUMELCHE2</v>
      </c>
      <c r="C157" s="233" t="str">
        <f t="shared" si="236"/>
        <v>Residential Heating Technology Urban Multi - Electricity Heating - Existing 2</v>
      </c>
      <c r="D157" s="233" t="str">
        <f t="shared" si="236"/>
        <v>Urban</v>
      </c>
      <c r="E157" s="233" t="str">
        <f t="shared" si="236"/>
        <v>Multi storey</v>
      </c>
      <c r="F157" s="233" t="str">
        <f t="shared" si="236"/>
        <v>COMELCH</v>
      </c>
      <c r="G157" s="233" t="str">
        <f t="shared" si="236"/>
        <v>COMHUMB</v>
      </c>
      <c r="H157" s="230">
        <v>2019</v>
      </c>
      <c r="I157" s="250">
        <f t="shared" si="227"/>
        <v>542</v>
      </c>
      <c r="J157" s="250">
        <f t="shared" si="228"/>
        <v>0</v>
      </c>
      <c r="K157" s="250">
        <f t="shared" si="229"/>
        <v>0</v>
      </c>
      <c r="L157" s="463">
        <v>2.3149999999999999</v>
      </c>
      <c r="M157" s="463">
        <v>2.3149999999999999</v>
      </c>
      <c r="N157" s="463">
        <v>2.3149999999999999</v>
      </c>
      <c r="O157" s="244">
        <f t="shared" si="231"/>
        <v>3.1536000000000002E-2</v>
      </c>
      <c r="P157" s="459">
        <v>0.15</v>
      </c>
      <c r="Q157" s="245">
        <v>30</v>
      </c>
      <c r="R157" s="227">
        <v>1.05</v>
      </c>
      <c r="T157" s="268">
        <f t="shared" si="189"/>
        <v>1.1075061771058314</v>
      </c>
      <c r="U157" s="268"/>
      <c r="V157" s="592" t="str">
        <f>'Data manipulation'!$B$30</f>
        <v>Ambient heat (heat pumps)</v>
      </c>
      <c r="W157" s="254" t="s">
        <v>171</v>
      </c>
      <c r="X157" s="246">
        <v>2019</v>
      </c>
      <c r="Y157" s="433">
        <f>_xlfn.IFNA(INDEX('Data manipulation'!$C$23:$O$39,MATCH($V157,'Data manipulation'!$B$23:$B$39,0),MATCH($X157,'Data manipulation'!$C$22:$O$22,0))/1000,0)*SUMIFS('Regional split'!$F$4:$F$6,'Regional split'!$B$4:$B$6,Y$3)*SUMIFS('Data manipulation'!$V$39:$V$42,'Data manipulation'!$X$39:$X$42,$E157,'Data manipulation'!$Y$39:$Y$42,$D157)</f>
        <v>1.0546608800000001</v>
      </c>
      <c r="Z157" s="270">
        <f>_xlfn.IFNA(INDEX('Data manipulation'!$C$23:$O$39,MATCH($V157,'Data manipulation'!$B$23:$B$39,0),MATCH($X157,'Data manipulation'!$C$22:$O$22,0))/1000,0)*SUMIFS('Regional split'!$F$4:$F$6,'Regional split'!$B$4:$B$6,Z$3)*SUMIFS('Data manipulation'!$V$39:$V$42,'Data manipulation'!$X$39:$X$42,$E157,'Data manipulation'!$Y$39:$Y$42,$D157)</f>
        <v>0</v>
      </c>
      <c r="AA157" s="455">
        <f>_xlfn.IFNA(INDEX('Data manipulation'!$C$23:$O$39,MATCH($V157,'Data manipulation'!$B$23:$B$39,0),MATCH($X157,'Data manipulation'!$C$22:$O$22,0))/1000,0)*SUMIFS('Regional split'!$F$4:$F$6,'Regional split'!$B$4:$B$6,AA$3)*SUMIFS('Data manipulation'!$V$39:$V$42,'Data manipulation'!$X$39:$X$42,$E157,'Data manipulation'!$Y$39:$Y$42,$D157)</f>
        <v>0</v>
      </c>
      <c r="AB157" s="444">
        <f t="shared" si="223"/>
        <v>2.4415399372000004</v>
      </c>
      <c r="AC157" s="251">
        <f t="shared" si="224"/>
        <v>0</v>
      </c>
      <c r="AD157" s="445">
        <f t="shared" si="225"/>
        <v>0</v>
      </c>
      <c r="AU157" s="260"/>
      <c r="AZ157" s="252"/>
    </row>
    <row r="158" spans="2:52" ht="15" customHeight="1">
      <c r="B158" s="233" t="str">
        <f t="shared" ref="B158:G158" si="237">B118</f>
        <v>CHTUMHCEE1</v>
      </c>
      <c r="C158" s="233" t="str">
        <f t="shared" si="237"/>
        <v>Residential Heating Technology Urban Multi - District heating Central - Existing 1</v>
      </c>
      <c r="D158" s="233" t="str">
        <f t="shared" si="237"/>
        <v>Urban</v>
      </c>
      <c r="E158" s="233" t="str">
        <f t="shared" si="237"/>
        <v>Multi storey</v>
      </c>
      <c r="F158" s="233" t="str">
        <f t="shared" si="237"/>
        <v>COMHCE</v>
      </c>
      <c r="G158" s="233" t="str">
        <f t="shared" si="237"/>
        <v>COMHUMX</v>
      </c>
      <c r="H158" s="230">
        <v>2019</v>
      </c>
      <c r="I158" s="250">
        <f t="shared" si="227"/>
        <v>3092.9</v>
      </c>
      <c r="J158" s="568">
        <v>0</v>
      </c>
      <c r="K158" s="568">
        <v>0</v>
      </c>
      <c r="L158" s="463">
        <v>0.95</v>
      </c>
      <c r="M158" s="463">
        <v>0.95</v>
      </c>
      <c r="N158" s="463">
        <v>0.95</v>
      </c>
      <c r="O158" s="244">
        <f t="shared" si="231"/>
        <v>3.1536000000000002E-2</v>
      </c>
      <c r="P158" s="459">
        <v>0.15</v>
      </c>
      <c r="Q158" s="245">
        <v>30</v>
      </c>
      <c r="R158" s="227">
        <v>1.05</v>
      </c>
      <c r="T158" s="268">
        <f t="shared" si="189"/>
        <v>15.400688589473686</v>
      </c>
      <c r="U158" s="268"/>
      <c r="V158" s="592" t="str">
        <f>'Data manipulation'!$B$34</f>
        <v>Heat</v>
      </c>
      <c r="W158" s="254" t="s">
        <v>172</v>
      </c>
      <c r="X158" s="246">
        <v>2019</v>
      </c>
      <c r="Y158" s="433">
        <f>_xlfn.IFNA(INDEX('Data manipulation'!$C$23:$O$39,MATCH($V158,'Data manipulation'!$B$23:$B$39,0),MATCH($X158,'Data manipulation'!$C$22:$O$22,0))/1000,0)*SUMIFS('Regional split'!$F$4:$F$6,'Regional split'!$B$4:$B$6,Y$3)*SUMIFS('Data manipulation'!$V$39:$V$42,'Data manipulation'!$X$39:$X$42,$E158,'Data manipulation'!$Y$39:$Y$42,$D158)</f>
        <v>14.667112783810833</v>
      </c>
      <c r="Z158" s="270">
        <f>_xlfn.IFNA(INDEX('Data manipulation'!$C$23:$O$39,MATCH($V158,'Data manipulation'!$B$23:$B$39,0),MATCH($X158,'Data manipulation'!$C$22:$O$22,0))/1000,0)*SUMIFS('Regional split'!$F$4:$F$6,'Regional split'!$B$4:$B$6,Z$3)*SUMIFS('Data manipulation'!$V$39:$V$42,'Data manipulation'!$X$39:$X$42,$E158,'Data manipulation'!$Y$39:$Y$42,$D158)</f>
        <v>0</v>
      </c>
      <c r="AA158" s="455">
        <f>_xlfn.IFNA(INDEX('Data manipulation'!$C$23:$O$39,MATCH($V158,'Data manipulation'!$B$23:$B$39,0),MATCH($X158,'Data manipulation'!$C$22:$O$22,0))/1000,0)*SUMIFS('Regional split'!$F$4:$F$6,'Regional split'!$B$4:$B$6,AA$3)*SUMIFS('Data manipulation'!$V$39:$V$42,'Data manipulation'!$X$39:$X$42,$E158,'Data manipulation'!$Y$39:$Y$42,$D158)</f>
        <v>0</v>
      </c>
      <c r="AB158" s="444">
        <f t="shared" si="223"/>
        <v>13.933757144620291</v>
      </c>
      <c r="AC158" s="251">
        <f t="shared" si="224"/>
        <v>0</v>
      </c>
      <c r="AD158" s="445">
        <f t="shared" si="225"/>
        <v>0</v>
      </c>
      <c r="AU158" s="260"/>
      <c r="AZ158" s="252"/>
    </row>
    <row r="159" spans="2:52" ht="15" customHeight="1" thickBot="1">
      <c r="B159" s="255" t="str">
        <f t="shared" ref="B159:G159" si="238">B119</f>
        <v>CHTUMLPGE1</v>
      </c>
      <c r="C159" s="255" t="str">
        <f t="shared" si="238"/>
        <v>Residential Heating Technology Urban Multi - LPG - Existing 1</v>
      </c>
      <c r="D159" s="531" t="str">
        <f t="shared" si="238"/>
        <v>Urban</v>
      </c>
      <c r="E159" s="531" t="str">
        <f t="shared" si="238"/>
        <v>Multi storey</v>
      </c>
      <c r="F159" s="255" t="str">
        <f t="shared" si="238"/>
        <v>COMLPG</v>
      </c>
      <c r="G159" s="255" t="str">
        <f t="shared" si="238"/>
        <v>COMHUMB</v>
      </c>
      <c r="H159" s="423">
        <v>2019</v>
      </c>
      <c r="I159" s="297">
        <f t="shared" ref="I159" si="239">ROUNDUP(AB159/($O159*$P159)*$R159,1)</f>
        <v>387.1</v>
      </c>
      <c r="J159" s="297">
        <f t="shared" ref="J159" si="240">ROUNDUP(AC159/($O159*$P159)*$R159,1)</f>
        <v>0</v>
      </c>
      <c r="K159" s="297">
        <f t="shared" ref="K159" si="241">ROUNDUP(AD159/($O159*$P159)*$R159,1)</f>
        <v>0</v>
      </c>
      <c r="L159" s="464">
        <v>0.95</v>
      </c>
      <c r="M159" s="464">
        <v>0.95</v>
      </c>
      <c r="N159" s="464">
        <v>0.95</v>
      </c>
      <c r="O159" s="257">
        <f t="shared" si="231"/>
        <v>3.1536000000000002E-2</v>
      </c>
      <c r="P159" s="460">
        <v>0.15</v>
      </c>
      <c r="Q159" s="258">
        <v>30</v>
      </c>
      <c r="R159" s="227">
        <v>1.05</v>
      </c>
      <c r="T159" s="268">
        <f t="shared" si="189"/>
        <v>1.9275135157894741</v>
      </c>
      <c r="U159" s="268"/>
      <c r="V159" s="593" t="str">
        <f>'Data manipulation'!$B$25</f>
        <v>Liquefied natural gas</v>
      </c>
      <c r="W159" s="428" t="s">
        <v>771</v>
      </c>
      <c r="X159" s="246">
        <v>2019</v>
      </c>
      <c r="Y159" s="434">
        <f>_xlfn.IFNA(INDEX('Data manipulation'!$C$23:$O$39,MATCH($V159,'Data manipulation'!$B$23:$B$39,0),MATCH($X159,'Data manipulation'!$C$22:$O$22,0))/1000,0)*SUMIFS('Regional split'!$F$4:$F$6,'Regional split'!$B$4:$B$6,Y$3)*SUMIFS('Data manipulation'!$V$39:$V$42,'Data manipulation'!$X$39:$X$42,$E159,'Data manipulation'!$Y$39:$Y$42,$D159)</f>
        <v>1.8355621679176473</v>
      </c>
      <c r="Z159" s="431">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51">
        <f t="shared" si="223"/>
        <v>1.7437840595217649</v>
      </c>
      <c r="AC159" s="277">
        <f t="shared" si="224"/>
        <v>0</v>
      </c>
      <c r="AD159" s="447">
        <f t="shared" si="225"/>
        <v>0</v>
      </c>
      <c r="AU159" s="260"/>
      <c r="AZ159" s="252"/>
    </row>
    <row r="160" spans="2:52" ht="15" customHeight="1">
      <c r="B160" s="233" t="str">
        <f t="shared" ref="B160:G160" si="242">B120</f>
        <v>CHTRMNGAE1</v>
      </c>
      <c r="C160" s="233" t="str">
        <f t="shared" si="242"/>
        <v>Residential Heating Technology Rural Multi - Natural Gas - Existing 1</v>
      </c>
      <c r="D160" s="233" t="str">
        <f t="shared" si="242"/>
        <v>Rural</v>
      </c>
      <c r="E160" s="233" t="str">
        <f t="shared" si="242"/>
        <v>Multi storey</v>
      </c>
      <c r="F160" s="233" t="str">
        <f t="shared" si="242"/>
        <v>COMNGA,COMSNG</v>
      </c>
      <c r="G160" s="233" t="str">
        <f t="shared" si="242"/>
        <v>COMHRMB</v>
      </c>
      <c r="H160" s="259">
        <v>2019</v>
      </c>
      <c r="I160" s="250">
        <f>ROUNDUP(AB160/($O160*$P160)*$R160,1)</f>
        <v>1084.6999999999998</v>
      </c>
      <c r="J160" s="250">
        <f>ROUNDUP(AC160/($O160*$P160)*$R160,1)</f>
        <v>0</v>
      </c>
      <c r="K160" s="250">
        <f>ROUNDUP(AD160/($O160*$P160)*$R160,1)</f>
        <v>0</v>
      </c>
      <c r="L160" s="463">
        <v>0.79</v>
      </c>
      <c r="M160" s="463">
        <v>0.79</v>
      </c>
      <c r="N160" s="463">
        <v>0.79</v>
      </c>
      <c r="O160" s="244">
        <f t="shared" si="231"/>
        <v>3.1536000000000002E-2</v>
      </c>
      <c r="P160" s="459">
        <v>0.15</v>
      </c>
      <c r="Q160" s="245">
        <v>25</v>
      </c>
      <c r="R160" s="227">
        <v>1.05</v>
      </c>
      <c r="T160" s="268">
        <f t="shared" si="189"/>
        <v>6.4950188354430365</v>
      </c>
      <c r="U160" s="268"/>
      <c r="V160" s="592" t="str">
        <f>'Data manipulation'!$B$36</f>
        <v>Natural gas and biogas</v>
      </c>
      <c r="W160" s="246" t="s">
        <v>168</v>
      </c>
      <c r="X160" s="246">
        <v>2019</v>
      </c>
      <c r="Y160" s="433">
        <f>_xlfn.IFNA(INDEX('Data manipulation'!$C$23:$O$39,MATCH($V160,'Data manipulation'!$B$23:$B$39,0),MATCH($X160,'Data manipulation'!$C$22:$O$22,0))/1000,0)*SUMIFS('Regional split'!$F$4:$F$6,'Regional split'!$B$4:$B$6,Y$3)*SUMIFS('Data manipulation'!$V$39:$V$42,'Data manipulation'!$X$39:$X$42,$E160,'Data manipulation'!$Y$39:$Y$42,$D160)</f>
        <v>6.1855332793417945</v>
      </c>
      <c r="Z160" s="270">
        <f>_xlfn.IFNA(INDEX('Data manipulation'!$C$23:$O$39,MATCH($V160,'Data manipulation'!$B$23:$B$39,0),MATCH($X160,'Data manipulation'!$C$22:$O$22,0))/1000,0)*SUMIFS('Regional split'!$F$4:$F$6,'Regional split'!$B$4:$B$6,Z$3)*SUMIFS('Data manipulation'!$V$39:$V$42,'Data manipulation'!$X$39:$X$42,$E160,'Data manipulation'!$Y$39:$Y$42,$D160)</f>
        <v>0</v>
      </c>
      <c r="AA160" s="455">
        <f>_xlfn.IFNA(INDEX('Data manipulation'!$C$23:$O$39,MATCH($V160,'Data manipulation'!$B$23:$B$39,0),MATCH($X160,'Data manipulation'!$C$22:$O$22,0))/1000,0)*SUMIFS('Regional split'!$F$4:$F$6,'Regional split'!$B$4:$B$6,AA$3)*SUMIFS('Data manipulation'!$V$39:$V$42,'Data manipulation'!$X$39:$X$42,$E160,'Data manipulation'!$Y$39:$Y$42,$D160)</f>
        <v>0</v>
      </c>
      <c r="AB160" s="452">
        <f t="shared" si="223"/>
        <v>4.8865712906800178</v>
      </c>
      <c r="AC160" s="278">
        <f t="shared" si="224"/>
        <v>0</v>
      </c>
      <c r="AD160" s="448">
        <f t="shared" si="225"/>
        <v>0</v>
      </c>
      <c r="AU160" s="260"/>
      <c r="AZ160" s="252"/>
    </row>
    <row r="161" spans="2:52" ht="15" customHeight="1">
      <c r="B161" s="233" t="str">
        <f t="shared" ref="B161:G161" si="243">B121</f>
        <v>CHTRMDSLE1</v>
      </c>
      <c r="C161" s="233" t="str">
        <f t="shared" si="243"/>
        <v>Residential Heating Technology Rural Multi - Diesel - Existing 1</v>
      </c>
      <c r="D161" s="233" t="str">
        <f t="shared" si="243"/>
        <v>Rural</v>
      </c>
      <c r="E161" s="233" t="str">
        <f t="shared" si="243"/>
        <v>Multi storey</v>
      </c>
      <c r="F161" s="233" t="str">
        <f t="shared" si="243"/>
        <v>COMDSL,COMDSB</v>
      </c>
      <c r="G161" s="233" t="str">
        <f t="shared" si="243"/>
        <v>COMHRMB</v>
      </c>
      <c r="H161" s="259">
        <v>2019</v>
      </c>
      <c r="I161" s="250">
        <f t="shared" ref="I161:I167" si="244">ROUNDUP(AB161/($O161*$P161)*$R161,1)</f>
        <v>0</v>
      </c>
      <c r="J161" s="250">
        <f t="shared" ref="J161:J167" si="245">ROUNDUP(AC161/($O161*$P161)*$R161,1)</f>
        <v>0</v>
      </c>
      <c r="K161" s="250">
        <f t="shared" ref="K161:K167" si="246">ROUNDUP(AD161/($O161*$P161)*$R161,1)</f>
        <v>0</v>
      </c>
      <c r="L161" s="463">
        <v>0.79</v>
      </c>
      <c r="M161" s="463">
        <v>0.79</v>
      </c>
      <c r="N161" s="463">
        <v>0.79</v>
      </c>
      <c r="O161" s="244">
        <f t="shared" si="231"/>
        <v>3.1536000000000002E-2</v>
      </c>
      <c r="P161" s="459">
        <v>0.15</v>
      </c>
      <c r="Q161" s="245">
        <v>20</v>
      </c>
      <c r="R161" s="227">
        <v>1.05</v>
      </c>
      <c r="T161" s="268">
        <f t="shared" si="189"/>
        <v>0</v>
      </c>
      <c r="V161" s="592" t="str">
        <f>'Data manipulation'!$B$35</f>
        <v>Oil products</v>
      </c>
      <c r="W161" s="254" t="s">
        <v>729</v>
      </c>
      <c r="X161" s="246">
        <v>2019</v>
      </c>
      <c r="Y161" s="433">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5">
        <f>_xlfn.IFNA(INDEX('Data manipulation'!$C$23:$O$39,MATCH($V161,'Data manipulation'!$B$23:$B$39,0),MATCH($X161,'Data manipulation'!$C$22:$O$22,0))/1000,0)*SUMIFS('Regional split'!$F$4:$F$6,'Regional split'!$B$4:$B$6,AA$3)*SUMIFS('Data manipulation'!$V$39:$V$42,'Data manipulation'!$X$39:$X$42,$E161,'Data manipulation'!$Y$39:$Y$42,$D161)</f>
        <v>0</v>
      </c>
      <c r="AB161" s="444">
        <f t="shared" si="223"/>
        <v>0</v>
      </c>
      <c r="AC161" s="251">
        <f t="shared" si="224"/>
        <v>0</v>
      </c>
      <c r="AD161" s="445">
        <f t="shared" si="225"/>
        <v>0</v>
      </c>
      <c r="AU161" s="260"/>
      <c r="AZ161" s="252"/>
    </row>
    <row r="162" spans="2:52" ht="15" customHeight="1">
      <c r="B162" s="233" t="str">
        <f t="shared" ref="B162:G162" si="247">B122</f>
        <v>CHTRMWPEE1</v>
      </c>
      <c r="C162" s="233" t="str">
        <f t="shared" si="247"/>
        <v>Residential Heating Technology Rural Multi - Wood pellets - Existing 1</v>
      </c>
      <c r="D162" s="233" t="str">
        <f t="shared" si="247"/>
        <v>Rural</v>
      </c>
      <c r="E162" s="233" t="str">
        <f t="shared" si="247"/>
        <v>Multi storey</v>
      </c>
      <c r="F162" s="233" t="str">
        <f t="shared" si="247"/>
        <v>COMWPE</v>
      </c>
      <c r="G162" s="233" t="str">
        <f t="shared" si="247"/>
        <v>COMHRMB</v>
      </c>
      <c r="H162" s="259">
        <v>2019</v>
      </c>
      <c r="I162" s="250">
        <f t="shared" si="244"/>
        <v>0</v>
      </c>
      <c r="J162" s="250">
        <f t="shared" si="245"/>
        <v>0</v>
      </c>
      <c r="K162" s="250">
        <f t="shared" si="246"/>
        <v>0</v>
      </c>
      <c r="L162" s="463">
        <v>0.67</v>
      </c>
      <c r="M162" s="463">
        <v>0.67</v>
      </c>
      <c r="N162" s="463">
        <v>0.67</v>
      </c>
      <c r="O162" s="244">
        <f>31.536/1000</f>
        <v>3.1536000000000002E-2</v>
      </c>
      <c r="P162" s="459">
        <v>0.15</v>
      </c>
      <c r="Q162" s="245">
        <v>20</v>
      </c>
      <c r="R162" s="227">
        <v>1.05</v>
      </c>
      <c r="T162" s="268">
        <f t="shared" si="189"/>
        <v>0</v>
      </c>
      <c r="U162" s="268"/>
      <c r="W162" s="254" t="s">
        <v>866</v>
      </c>
      <c r="X162" s="246">
        <v>2019</v>
      </c>
      <c r="Y162" s="433">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5">
        <f>_xlfn.IFNA(INDEX('Data manipulation'!$C$23:$O$39,MATCH($V162,'Data manipulation'!$B$23:$B$39,0),MATCH($X162,'Data manipulation'!$C$22:$O$22,0))/1000,0)*SUMIFS('Regional split'!$F$4:$F$6,'Regional split'!$B$4:$B$6,AA$3)*SUMIFS('Data manipulation'!$V$39:$V$42,'Data manipulation'!$X$39:$X$42,$E162,'Data manipulation'!$Y$39:$Y$42,$D162)</f>
        <v>0</v>
      </c>
      <c r="AB162" s="444">
        <f t="shared" si="223"/>
        <v>0</v>
      </c>
      <c r="AC162" s="251">
        <f t="shared" si="224"/>
        <v>0</v>
      </c>
      <c r="AD162" s="445">
        <f t="shared" si="225"/>
        <v>0</v>
      </c>
      <c r="AU162" s="260"/>
      <c r="AZ162" s="252"/>
    </row>
    <row r="163" spans="2:52" ht="15" customHeight="1">
      <c r="B163" s="233" t="str">
        <f t="shared" ref="B163:G163" si="248">B123</f>
        <v>CHTRMFIWE1</v>
      </c>
      <c r="C163" s="233" t="str">
        <f t="shared" si="248"/>
        <v>Residential Heating Technology Rural Multi - Fire wood - Existing 1</v>
      </c>
      <c r="D163" s="233" t="str">
        <f t="shared" si="248"/>
        <v>Rural</v>
      </c>
      <c r="E163" s="233" t="str">
        <f t="shared" si="248"/>
        <v>Multi storey</v>
      </c>
      <c r="F163" s="233" t="str">
        <f t="shared" si="248"/>
        <v>COMFIW</v>
      </c>
      <c r="G163" s="233" t="str">
        <f t="shared" si="248"/>
        <v>COMHRMB</v>
      </c>
      <c r="H163" s="259">
        <v>2019</v>
      </c>
      <c r="I163" s="250">
        <f t="shared" si="244"/>
        <v>157.9</v>
      </c>
      <c r="J163" s="250">
        <f t="shared" si="245"/>
        <v>0</v>
      </c>
      <c r="K163" s="250">
        <f t="shared" si="246"/>
        <v>0</v>
      </c>
      <c r="L163" s="463">
        <v>0.67</v>
      </c>
      <c r="M163" s="463">
        <v>0.67</v>
      </c>
      <c r="N163" s="463">
        <v>0.67</v>
      </c>
      <c r="O163" s="244">
        <f>31.536/1000</f>
        <v>3.1536000000000002E-2</v>
      </c>
      <c r="P163" s="459">
        <v>0.15</v>
      </c>
      <c r="Q163" s="245">
        <v>20</v>
      </c>
      <c r="R163" s="227">
        <v>1.05</v>
      </c>
      <c r="T163" s="268">
        <f t="shared" si="189"/>
        <v>1.1148211343283581</v>
      </c>
      <c r="U163" s="268"/>
      <c r="V163" s="592" t="str">
        <f>'Data manipulation'!$B$31</f>
        <v>Primary solid biofuels</v>
      </c>
      <c r="W163" s="254" t="s">
        <v>177</v>
      </c>
      <c r="X163" s="246">
        <v>2019</v>
      </c>
      <c r="Y163" s="433">
        <f>_xlfn.IFNA(INDEX('Data manipulation'!$C$23:$O$39,MATCH($V163,'Data manipulation'!$B$23:$B$39,0),MATCH($X163,'Data manipulation'!$C$22:$O$22,0))/1000,0)*SUMIFS('Regional split'!$F$4:$F$6,'Regional split'!$B$4:$B$6,Y$3)*SUMIFS('Data manipulation'!$V$39:$V$42,'Data manipulation'!$X$39:$X$42,$E163,'Data manipulation'!$Y$39:$Y$42,$D163)</f>
        <v>1.0616700451724763</v>
      </c>
      <c r="Z163" s="270">
        <f>_xlfn.IFNA(INDEX('Data manipulation'!$C$23:$O$39,MATCH($V163,'Data manipulation'!$B$23:$B$39,0),MATCH($X163,'Data manipulation'!$C$22:$O$22,0))/1000,0)*SUMIFS('Regional split'!$F$4:$F$6,'Regional split'!$B$4:$B$6,Z$3)*SUMIFS('Data manipulation'!$V$39:$V$42,'Data manipulation'!$X$39:$X$42,$E163,'Data manipulation'!$Y$39:$Y$42,$D163)</f>
        <v>0</v>
      </c>
      <c r="AA163" s="455">
        <f>_xlfn.IFNA(INDEX('Data manipulation'!$C$23:$O$39,MATCH($V163,'Data manipulation'!$B$23:$B$39,0),MATCH($X163,'Data manipulation'!$C$22:$O$22,0))/1000,0)*SUMIFS('Regional split'!$F$4:$F$6,'Regional split'!$B$4:$B$6,AA$3)*SUMIFS('Data manipulation'!$V$39:$V$42,'Data manipulation'!$X$39:$X$42,$E163,'Data manipulation'!$Y$39:$Y$42,$D163)</f>
        <v>0</v>
      </c>
      <c r="AB163" s="444">
        <f t="shared" si="223"/>
        <v>0.71131893026555915</v>
      </c>
      <c r="AC163" s="251">
        <f t="shared" si="224"/>
        <v>0</v>
      </c>
      <c r="AD163" s="445">
        <f t="shared" si="225"/>
        <v>0</v>
      </c>
      <c r="AU163" s="260"/>
      <c r="AZ163" s="252"/>
    </row>
    <row r="164" spans="2:52" ht="15" customHeight="1">
      <c r="B164" s="233" t="str">
        <f t="shared" ref="B164:G164" si="249">B124</f>
        <v>CHTRMCOAE1</v>
      </c>
      <c r="C164" s="233" t="str">
        <f t="shared" si="249"/>
        <v>Residential Heating Technology Rural Multi - Coal - Existing 1</v>
      </c>
      <c r="D164" s="233" t="str">
        <f t="shared" si="249"/>
        <v>Rural</v>
      </c>
      <c r="E164" s="233" t="str">
        <f t="shared" si="249"/>
        <v>Multi storey</v>
      </c>
      <c r="F164" s="233" t="str">
        <f t="shared" si="249"/>
        <v>COMCOA</v>
      </c>
      <c r="G164" s="233" t="str">
        <f t="shared" si="249"/>
        <v>COMHRMB</v>
      </c>
      <c r="H164" s="259">
        <v>2019</v>
      </c>
      <c r="I164" s="250">
        <f t="shared" si="244"/>
        <v>0.30000000000000004</v>
      </c>
      <c r="J164" s="250">
        <f t="shared" si="245"/>
        <v>0</v>
      </c>
      <c r="K164" s="250">
        <f t="shared" si="246"/>
        <v>0</v>
      </c>
      <c r="L164" s="463">
        <v>0.72</v>
      </c>
      <c r="M164" s="463">
        <v>0.72</v>
      </c>
      <c r="N164" s="463">
        <v>0.72</v>
      </c>
      <c r="O164" s="244">
        <f t="shared" si="231"/>
        <v>3.1536000000000002E-2</v>
      </c>
      <c r="P164" s="459">
        <v>0.15</v>
      </c>
      <c r="Q164" s="245">
        <v>20</v>
      </c>
      <c r="R164" s="227">
        <v>1.05</v>
      </c>
      <c r="T164" s="268">
        <f t="shared" si="189"/>
        <v>1.9710000000000005E-3</v>
      </c>
      <c r="U164" s="268"/>
      <c r="V164" s="592" t="str">
        <f>'Data manipulation'!$B$23</f>
        <v>Solid fossil fuels, peat, peat products, oil shale and oil sands</v>
      </c>
      <c r="W164" s="254" t="s">
        <v>863</v>
      </c>
      <c r="X164" s="246">
        <v>2019</v>
      </c>
      <c r="Y164" s="433">
        <f>_xlfn.IFNA(INDEX('Data manipulation'!$C$23:$O$39,MATCH($V164,'Data manipulation'!$B$23:$B$39,0),MATCH($X164,'Data manipulation'!$C$22:$O$22,0))/1000,0)*SUMIFS('Regional split'!$F$4:$F$6,'Regional split'!$B$4:$B$6,Y$3)*SUMIFS('Data manipulation'!$V$39:$V$42,'Data manipulation'!$X$39:$X$42,$E164,'Data manipulation'!$Y$39:$Y$42,$D164)</f>
        <v>1.462772E-3</v>
      </c>
      <c r="Z164" s="270">
        <f>_xlfn.IFNA(INDEX('Data manipulation'!$C$23:$O$39,MATCH($V164,'Data manipulation'!$B$23:$B$39,0),MATCH($X164,'Data manipulation'!$C$22:$O$22,0))/1000,0)*SUMIFS('Regional split'!$F$4:$F$6,'Regional split'!$B$4:$B$6,Z$3)*SUMIFS('Data manipulation'!$V$39:$V$42,'Data manipulation'!$X$39:$X$42,$E164,'Data manipulation'!$Y$39:$Y$42,$D164)</f>
        <v>0</v>
      </c>
      <c r="AA164" s="455">
        <f>_xlfn.IFNA(INDEX('Data manipulation'!$C$23:$O$39,MATCH($V164,'Data manipulation'!$B$23:$B$39,0),MATCH($X164,'Data manipulation'!$C$22:$O$22,0))/1000,0)*SUMIFS('Regional split'!$F$4:$F$6,'Regional split'!$B$4:$B$6,AA$3)*SUMIFS('Data manipulation'!$V$39:$V$42,'Data manipulation'!$X$39:$X$42,$E164,'Data manipulation'!$Y$39:$Y$42,$D164)</f>
        <v>0</v>
      </c>
      <c r="AB164" s="444">
        <f t="shared" si="223"/>
        <v>1.0531958399999999E-3</v>
      </c>
      <c r="AC164" s="251">
        <f t="shared" si="224"/>
        <v>0</v>
      </c>
      <c r="AD164" s="445">
        <f t="shared" si="225"/>
        <v>0</v>
      </c>
      <c r="AU164" s="260"/>
      <c r="AZ164" s="252"/>
    </row>
    <row r="165" spans="2:52" ht="15" customHeight="1">
      <c r="B165" s="233" t="str">
        <f t="shared" ref="B165:G165" si="250">B125</f>
        <v>CHTRMSOLE1</v>
      </c>
      <c r="C165" s="233" t="str">
        <f t="shared" si="250"/>
        <v>Residential Heating Technology Rural Multi - Solar - Existing 1</v>
      </c>
      <c r="D165" s="233" t="str">
        <f t="shared" si="250"/>
        <v>Rural</v>
      </c>
      <c r="E165" s="233" t="str">
        <f t="shared" si="250"/>
        <v>Multi storey</v>
      </c>
      <c r="F165" s="233" t="str">
        <f t="shared" si="250"/>
        <v>COMSOL</v>
      </c>
      <c r="G165" s="233" t="str">
        <f t="shared" si="250"/>
        <v>COMHRMB</v>
      </c>
      <c r="H165" s="259">
        <v>2019</v>
      </c>
      <c r="I165" s="250">
        <f t="shared" si="244"/>
        <v>0.7</v>
      </c>
      <c r="J165" s="250">
        <f t="shared" si="245"/>
        <v>0</v>
      </c>
      <c r="K165" s="250">
        <f t="shared" si="246"/>
        <v>0</v>
      </c>
      <c r="L165" s="463">
        <v>1</v>
      </c>
      <c r="M165" s="463">
        <v>1</v>
      </c>
      <c r="N165" s="463">
        <v>1</v>
      </c>
      <c r="O165" s="244">
        <f t="shared" si="231"/>
        <v>3.1536000000000002E-2</v>
      </c>
      <c r="P165" s="459">
        <v>0.15</v>
      </c>
      <c r="Q165" s="245">
        <v>20</v>
      </c>
      <c r="R165" s="227">
        <v>1.05</v>
      </c>
      <c r="T165" s="268">
        <f t="shared" si="189"/>
        <v>3.3112799999999998E-3</v>
      </c>
      <c r="U165" s="268"/>
      <c r="V165" s="592" t="str">
        <f>'Data manipulation'!$B$29</f>
        <v>Solar thermal</v>
      </c>
      <c r="W165" s="254" t="s">
        <v>169</v>
      </c>
      <c r="X165" s="246">
        <v>2019</v>
      </c>
      <c r="Y165" s="433">
        <f>_xlfn.IFNA(INDEX('Data manipulation'!$C$23:$O$39,MATCH($V165,'Data manipulation'!$B$23:$B$39,0),MATCH($X165,'Data manipulation'!$C$22:$O$22,0))/1000,0)*SUMIFS('Regional split'!$F$4:$F$6,'Regional split'!$B$4:$B$6,Y$3)*SUMIFS('Data manipulation'!$V$39:$V$42,'Data manipulation'!$X$39:$X$42,$E165,'Data manipulation'!$Y$39:$Y$42,$D165)</f>
        <v>3.1460960000000001E-3</v>
      </c>
      <c r="Z165" s="270">
        <f>_xlfn.IFNA(INDEX('Data manipulation'!$C$23:$O$39,MATCH($V165,'Data manipulation'!$B$23:$B$39,0),MATCH($X165,'Data manipulation'!$C$22:$O$22,0))/1000,0)*SUMIFS('Regional split'!$F$4:$F$6,'Regional split'!$B$4:$B$6,Z$3)*SUMIFS('Data manipulation'!$V$39:$V$42,'Data manipulation'!$X$39:$X$42,$E165,'Data manipulation'!$Y$39:$Y$42,$D165)</f>
        <v>0</v>
      </c>
      <c r="AA165" s="455">
        <f>_xlfn.IFNA(INDEX('Data manipulation'!$C$23:$O$39,MATCH($V165,'Data manipulation'!$B$23:$B$39,0),MATCH($X165,'Data manipulation'!$C$22:$O$22,0))/1000,0)*SUMIFS('Regional split'!$F$4:$F$6,'Regional split'!$B$4:$B$6,AA$3)*SUMIFS('Data manipulation'!$V$39:$V$42,'Data manipulation'!$X$39:$X$42,$E165,'Data manipulation'!$Y$39:$Y$42,$D165)</f>
        <v>0</v>
      </c>
      <c r="AB165" s="444">
        <f t="shared" si="223"/>
        <v>3.1460960000000001E-3</v>
      </c>
      <c r="AC165" s="251">
        <f t="shared" si="224"/>
        <v>0</v>
      </c>
      <c r="AD165" s="445">
        <f t="shared" si="225"/>
        <v>0</v>
      </c>
      <c r="AU165" s="260"/>
      <c r="AZ165" s="252"/>
    </row>
    <row r="166" spans="2:52" ht="15" customHeight="1">
      <c r="B166" s="233" t="str">
        <f t="shared" ref="B166:G166" si="251">B126</f>
        <v>CHTRMELCHE1</v>
      </c>
      <c r="C166" s="233" t="str">
        <f t="shared" si="251"/>
        <v>Residential Heating Technology Rural Multi - Electricity Heating - Existing 1</v>
      </c>
      <c r="D166" s="233" t="str">
        <f t="shared" si="251"/>
        <v>Rural</v>
      </c>
      <c r="E166" s="233" t="str">
        <f t="shared" si="251"/>
        <v>Multi storey</v>
      </c>
      <c r="F166" s="233" t="str">
        <f t="shared" si="251"/>
        <v>COMELCH</v>
      </c>
      <c r="G166" s="233" t="str">
        <f t="shared" si="251"/>
        <v>COMHRMB</v>
      </c>
      <c r="H166" s="259">
        <v>2019</v>
      </c>
      <c r="I166" s="250">
        <f t="shared" si="244"/>
        <v>116.39999999999999</v>
      </c>
      <c r="J166" s="250">
        <f t="shared" si="245"/>
        <v>0</v>
      </c>
      <c r="K166" s="250">
        <f t="shared" si="246"/>
        <v>0</v>
      </c>
      <c r="L166" s="463">
        <v>1</v>
      </c>
      <c r="M166" s="463">
        <v>1</v>
      </c>
      <c r="N166" s="463">
        <v>1</v>
      </c>
      <c r="O166" s="244">
        <f t="shared" si="231"/>
        <v>3.1536000000000002E-2</v>
      </c>
      <c r="P166" s="459">
        <v>0.15</v>
      </c>
      <c r="Q166" s="245">
        <v>30</v>
      </c>
      <c r="R166" s="227">
        <v>1.05</v>
      </c>
      <c r="T166" s="268">
        <f t="shared" si="189"/>
        <v>0.55061855999999998</v>
      </c>
      <c r="U166" s="268"/>
      <c r="V166" s="592" t="str">
        <f>'Data manipulation'!$B$33</f>
        <v>Electricity</v>
      </c>
      <c r="W166" s="254" t="s">
        <v>170</v>
      </c>
      <c r="X166" s="246">
        <v>2019</v>
      </c>
      <c r="Y166" s="433">
        <f>_xlfn.IFNA(INDEX('Data manipulation'!$C$23:$O$39,MATCH($V166,'Data manipulation'!$B$23:$B$39,0),MATCH($X166,'Data manipulation'!$C$22:$O$22,0))/1000,0)*SUMIFS('Regional split'!$F$4:$F$6,'Regional split'!$B$4:$B$6,Y$3)*SUMIFS('Data manipulation'!$V$39:$V$42,'Data manipulation'!$X$39:$X$42,$E166,'Data manipulation'!$Y$39:$Y$42,$D166)</f>
        <v>0.52422946560663108</v>
      </c>
      <c r="Z166" s="270">
        <f>_xlfn.IFNA(INDEX('Data manipulation'!$C$23:$O$39,MATCH($V166,'Data manipulation'!$B$23:$B$39,0),MATCH($X166,'Data manipulation'!$C$22:$O$22,0))/1000,0)*SUMIFS('Regional split'!$F$4:$F$6,'Regional split'!$B$4:$B$6,Z$3)*SUMIFS('Data manipulation'!$V$39:$V$42,'Data manipulation'!$X$39:$X$42,$E166,'Data manipulation'!$Y$39:$Y$42,$D166)</f>
        <v>0</v>
      </c>
      <c r="AA166" s="455">
        <f>_xlfn.IFNA(INDEX('Data manipulation'!$C$23:$O$39,MATCH($V166,'Data manipulation'!$B$23:$B$39,0),MATCH($X166,'Data manipulation'!$C$22:$O$22,0))/1000,0)*SUMIFS('Regional split'!$F$4:$F$6,'Regional split'!$B$4:$B$6,AA$3)*SUMIFS('Data manipulation'!$V$39:$V$42,'Data manipulation'!$X$39:$X$42,$E166,'Data manipulation'!$Y$39:$Y$42,$D166)</f>
        <v>0</v>
      </c>
      <c r="AB166" s="444">
        <f t="shared" si="223"/>
        <v>0.52422946560663108</v>
      </c>
      <c r="AC166" s="251">
        <f t="shared" si="224"/>
        <v>0</v>
      </c>
      <c r="AD166" s="445">
        <f t="shared" si="225"/>
        <v>0</v>
      </c>
      <c r="AU166" s="260"/>
      <c r="AZ166" s="252"/>
    </row>
    <row r="167" spans="2:52" ht="15" customHeight="1">
      <c r="B167" s="233" t="str">
        <f t="shared" ref="B167:G167" si="252">B127</f>
        <v>CHTRMELCHE2</v>
      </c>
      <c r="C167" s="233" t="str">
        <f t="shared" si="252"/>
        <v>Residential Heating Technology Rural Multi - Electricity Heating - Existing 2</v>
      </c>
      <c r="D167" s="233" t="str">
        <f t="shared" si="252"/>
        <v>Rural</v>
      </c>
      <c r="E167" s="233" t="str">
        <f t="shared" si="252"/>
        <v>Multi storey</v>
      </c>
      <c r="F167" s="233" t="str">
        <f t="shared" si="252"/>
        <v>COMELCH</v>
      </c>
      <c r="G167" s="233" t="str">
        <f t="shared" si="252"/>
        <v>COMHRMB</v>
      </c>
      <c r="H167" s="259">
        <v>2019</v>
      </c>
      <c r="I167" s="250">
        <f t="shared" si="244"/>
        <v>37.200000000000003</v>
      </c>
      <c r="J167" s="250">
        <f t="shared" si="245"/>
        <v>0</v>
      </c>
      <c r="K167" s="250">
        <f t="shared" si="246"/>
        <v>0</v>
      </c>
      <c r="L167" s="463">
        <v>2.3149999999999999</v>
      </c>
      <c r="M167" s="463">
        <v>2.3149999999999999</v>
      </c>
      <c r="N167" s="463">
        <v>2.3149999999999999</v>
      </c>
      <c r="O167" s="244">
        <f t="shared" si="231"/>
        <v>3.1536000000000002E-2</v>
      </c>
      <c r="P167" s="459">
        <v>0.15</v>
      </c>
      <c r="Q167" s="245">
        <v>30</v>
      </c>
      <c r="R167" s="227">
        <v>1.05</v>
      </c>
      <c r="T167" s="268">
        <f t="shared" si="189"/>
        <v>7.601333909287257E-2</v>
      </c>
      <c r="U167" s="268"/>
      <c r="V167" s="592" t="str">
        <f>'Data manipulation'!$B$30</f>
        <v>Ambient heat (heat pumps)</v>
      </c>
      <c r="W167" s="254" t="s">
        <v>171</v>
      </c>
      <c r="X167" s="246">
        <v>2019</v>
      </c>
      <c r="Y167" s="433">
        <f>_xlfn.IFNA(INDEX('Data manipulation'!$C$23:$O$39,MATCH($V167,'Data manipulation'!$B$23:$B$39,0),MATCH($X167,'Data manipulation'!$C$22:$O$22,0))/1000,0)*SUMIFS('Regional split'!$F$4:$F$6,'Regional split'!$B$4:$B$6,Y$3)*SUMIFS('Data manipulation'!$V$39:$V$42,'Data manipulation'!$X$39:$X$42,$E167,'Data manipulation'!$Y$39:$Y$42,$D167)</f>
        <v>7.2341360000000007E-2</v>
      </c>
      <c r="Z167" s="270">
        <f>_xlfn.IFNA(INDEX('Data manipulation'!$C$23:$O$39,MATCH($V167,'Data manipulation'!$B$23:$B$39,0),MATCH($X167,'Data manipulation'!$C$22:$O$22,0))/1000,0)*SUMIFS('Regional split'!$F$4:$F$6,'Regional split'!$B$4:$B$6,Z$3)*SUMIFS('Data manipulation'!$V$39:$V$42,'Data manipulation'!$X$39:$X$42,$E167,'Data manipulation'!$Y$39:$Y$42,$D167)</f>
        <v>0</v>
      </c>
      <c r="AA167" s="455">
        <f>_xlfn.IFNA(INDEX('Data manipulation'!$C$23:$O$39,MATCH($V167,'Data manipulation'!$B$23:$B$39,0),MATCH($X167,'Data manipulation'!$C$22:$O$22,0))/1000,0)*SUMIFS('Regional split'!$F$4:$F$6,'Regional split'!$B$4:$B$6,AA$3)*SUMIFS('Data manipulation'!$V$39:$V$42,'Data manipulation'!$X$39:$X$42,$E167,'Data manipulation'!$Y$39:$Y$42,$D167)</f>
        <v>0</v>
      </c>
      <c r="AB167" s="444">
        <f t="shared" si="223"/>
        <v>0.16747024840000002</v>
      </c>
      <c r="AC167" s="251">
        <f t="shared" si="224"/>
        <v>0</v>
      </c>
      <c r="AD167" s="445">
        <f t="shared" si="225"/>
        <v>0</v>
      </c>
      <c r="AU167" s="260"/>
      <c r="AZ167" s="252"/>
    </row>
    <row r="168" spans="2:52" ht="15" customHeight="1">
      <c r="B168" s="233" t="str">
        <f t="shared" ref="B168:G168" si="253">B128</f>
        <v>CHTRMHCEE1</v>
      </c>
      <c r="C168" s="233" t="str">
        <f t="shared" si="253"/>
        <v>Residential Heating Technology Rural Multi - District heating Central - Existing 1</v>
      </c>
      <c r="D168" s="233" t="str">
        <f t="shared" si="253"/>
        <v>Rural</v>
      </c>
      <c r="E168" s="233" t="str">
        <f t="shared" si="253"/>
        <v>Multi storey</v>
      </c>
      <c r="F168" s="233" t="str">
        <f t="shared" si="253"/>
        <v>COMHDE</v>
      </c>
      <c r="G168" s="233" t="str">
        <f t="shared" si="253"/>
        <v>COMHRMX</v>
      </c>
      <c r="H168" s="261">
        <v>2019</v>
      </c>
      <c r="I168" s="568">
        <v>0</v>
      </c>
      <c r="J168" s="568">
        <v>0</v>
      </c>
      <c r="K168" s="568">
        <v>0</v>
      </c>
      <c r="L168" s="463">
        <v>0.98</v>
      </c>
      <c r="M168" s="463">
        <v>0.98</v>
      </c>
      <c r="N168" s="463">
        <v>0.98</v>
      </c>
      <c r="O168" s="244">
        <f t="shared" si="231"/>
        <v>3.1536000000000002E-2</v>
      </c>
      <c r="P168" s="459">
        <v>0.15</v>
      </c>
      <c r="Q168" s="245">
        <v>30</v>
      </c>
      <c r="R168" s="227">
        <v>1.05</v>
      </c>
      <c r="T168" s="268">
        <f t="shared" si="189"/>
        <v>0</v>
      </c>
      <c r="U168" s="268"/>
      <c r="V168" s="592" t="str">
        <f>'Data manipulation'!$B$34</f>
        <v>Heat</v>
      </c>
      <c r="W168" s="254" t="s">
        <v>172</v>
      </c>
      <c r="X168" s="246">
        <v>2019</v>
      </c>
      <c r="Y168" s="433">
        <f>_xlfn.IFNA(INDEX('Data manipulation'!$C$23:$O$39,MATCH($V168,'Data manipulation'!$B$23:$B$39,0),MATCH($X168,'Data manipulation'!$C$22:$O$22,0))/1000,0)*SUMIFS('Regional split'!$F$4:$F$6,'Regional split'!$B$4:$B$6,Y$3)*SUMIFS('Data manipulation'!$V$39:$V$42,'Data manipulation'!$X$39:$X$42,$E168,'Data manipulation'!$Y$39:$Y$42,$D168)</f>
        <v>1.0060474472650027</v>
      </c>
      <c r="Z168" s="270">
        <f>_xlfn.IFNA(INDEX('Data manipulation'!$C$23:$O$39,MATCH($V168,'Data manipulation'!$B$23:$B$39,0),MATCH($X168,'Data manipulation'!$C$22:$O$22,0))/1000,0)*SUMIFS('Regional split'!$F$4:$F$6,'Regional split'!$B$4:$B$6,Z$3)*SUMIFS('Data manipulation'!$V$39:$V$42,'Data manipulation'!$X$39:$X$42,$E168,'Data manipulation'!$Y$39:$Y$42,$D168)</f>
        <v>0</v>
      </c>
      <c r="AA168" s="455">
        <f>_xlfn.IFNA(INDEX('Data manipulation'!$C$23:$O$39,MATCH($V168,'Data manipulation'!$B$23:$B$39,0),MATCH($X168,'Data manipulation'!$C$22:$O$22,0))/1000,0)*SUMIFS('Regional split'!$F$4:$F$6,'Regional split'!$B$4:$B$6,AA$3)*SUMIFS('Data manipulation'!$V$39:$V$42,'Data manipulation'!$X$39:$X$42,$E168,'Data manipulation'!$Y$39:$Y$42,$D168)</f>
        <v>0</v>
      </c>
      <c r="AB168" s="444">
        <f t="shared" si="223"/>
        <v>0.98592649831970269</v>
      </c>
      <c r="AC168" s="251">
        <f t="shared" si="224"/>
        <v>0</v>
      </c>
      <c r="AD168" s="445">
        <f t="shared" si="225"/>
        <v>0</v>
      </c>
      <c r="AU168" s="260"/>
      <c r="AZ168" s="252"/>
    </row>
    <row r="169" spans="2:52" ht="15" customHeight="1" thickBot="1">
      <c r="B169" s="233" t="str">
        <f t="shared" ref="B169:G169" si="254">B129</f>
        <v>CHTRMLPGE1</v>
      </c>
      <c r="C169" s="233" t="str">
        <f t="shared" si="254"/>
        <v>Residential Heating Technology Rural Multi - LPG - Existing 1</v>
      </c>
      <c r="D169" s="233" t="str">
        <f t="shared" si="254"/>
        <v>Rural</v>
      </c>
      <c r="E169" s="233" t="str">
        <f t="shared" si="254"/>
        <v>Multi storey</v>
      </c>
      <c r="F169" s="233" t="str">
        <f t="shared" si="254"/>
        <v>COMLPG</v>
      </c>
      <c r="G169" s="233" t="str">
        <f t="shared" si="254"/>
        <v>COMHRMB</v>
      </c>
      <c r="H169" s="261">
        <v>2019</v>
      </c>
      <c r="I169" s="297">
        <f>ROUNDUP(AB169/($O169*$P169)*$R169,1)</f>
        <v>27.400000000000002</v>
      </c>
      <c r="J169" s="297">
        <f t="shared" ref="J169" si="255">ROUNDUP(AC169/($O169*$P169)*$R169,1)</f>
        <v>0</v>
      </c>
      <c r="K169" s="297">
        <f t="shared" ref="K169" si="256">ROUNDUP(AD169/($O169*$P169)*$R169,1)</f>
        <v>0</v>
      </c>
      <c r="L169" s="463">
        <v>0.98</v>
      </c>
      <c r="M169" s="463">
        <v>0.98</v>
      </c>
      <c r="N169" s="463">
        <v>0.98</v>
      </c>
      <c r="O169" s="244">
        <f t="shared" si="231"/>
        <v>3.1536000000000002E-2</v>
      </c>
      <c r="P169" s="459">
        <v>0.15</v>
      </c>
      <c r="Q169" s="245">
        <v>30</v>
      </c>
      <c r="R169" s="227">
        <v>1.05</v>
      </c>
      <c r="T169" s="268">
        <f t="shared" si="189"/>
        <v>0.13225812244897961</v>
      </c>
      <c r="U169" s="268"/>
      <c r="V169" s="593" t="str">
        <f>'Data manipulation'!$B$25</f>
        <v>Liquefied natural gas</v>
      </c>
      <c r="W169" s="428" t="s">
        <v>771</v>
      </c>
      <c r="X169" s="246">
        <v>2019</v>
      </c>
      <c r="Y169" s="434">
        <f>_xlfn.IFNA(INDEX('Data manipulation'!$C$23:$O$39,MATCH($V169,'Data manipulation'!$B$23:$B$39,0),MATCH($X169,'Data manipulation'!$C$22:$O$22,0))/1000,0)*SUMIFS('Regional split'!$F$4:$F$6,'Regional split'!$B$4:$B$6,Y$3)*SUMIFS('Data manipulation'!$V$39:$V$42,'Data manipulation'!$X$39:$X$42,$E169,'Data manipulation'!$Y$39:$Y$42,$D169)</f>
        <v>0.12590498624705881</v>
      </c>
      <c r="Z169" s="431">
        <f>_xlfn.IFNA(INDEX('Data manipulation'!$C$23:$O$39,MATCH($V169,'Data manipulation'!$B$23:$B$39,0),MATCH($X169,'Data manipulation'!$C$22:$O$22,0))/1000,0)*SUMIFS('Regional split'!$F$4:$F$6,'Regional split'!$B$4:$B$6,Z$3)*SUMIFS('Data manipulation'!$V$39:$V$42,'Data manipulation'!$X$39:$X$42,$E169,'Data manipulation'!$Y$39:$Y$42,$D169)</f>
        <v>0</v>
      </c>
      <c r="AA169" s="456">
        <f>_xlfn.IFNA(INDEX('Data manipulation'!$C$23:$O$39,MATCH($V169,'Data manipulation'!$B$23:$B$39,0),MATCH($X169,'Data manipulation'!$C$22:$O$22,0))/1000,0)*SUMIFS('Regional split'!$F$4:$F$6,'Regional split'!$B$4:$B$6,AA$3)*SUMIFS('Data manipulation'!$V$39:$V$42,'Data manipulation'!$X$39:$X$42,$E169,'Data manipulation'!$Y$39:$Y$42,$D169)</f>
        <v>0</v>
      </c>
      <c r="AB169" s="446">
        <f t="shared" si="223"/>
        <v>0.12338688652211764</v>
      </c>
      <c r="AC169" s="432">
        <f t="shared" si="224"/>
        <v>0</v>
      </c>
      <c r="AD169" s="453">
        <f t="shared" si="225"/>
        <v>0</v>
      </c>
      <c r="AU169" s="260"/>
      <c r="AZ169" s="252"/>
    </row>
    <row r="170" spans="2:52" ht="15" customHeight="1">
      <c r="B170" s="227" t="str">
        <f>B90</f>
        <v>CHTUDNGAE1</v>
      </c>
      <c r="C170" s="227" t="str">
        <f t="shared" ref="C170:G170" si="257">C90</f>
        <v>Residential Heating Technology Urban Detached - Natural Gas - Existing 1</v>
      </c>
      <c r="D170" s="227" t="str">
        <f t="shared" si="257"/>
        <v>Urban</v>
      </c>
      <c r="E170" s="227" t="str">
        <f t="shared" si="257"/>
        <v>Detached</v>
      </c>
      <c r="F170" s="227" t="str">
        <f t="shared" si="257"/>
        <v>COMNGA,COMSNG,COMBGA</v>
      </c>
      <c r="G170" s="227" t="str">
        <f t="shared" si="257"/>
        <v>COMHUDB</v>
      </c>
      <c r="H170" s="569">
        <f t="shared" ref="H170:H209" si="258">H90+Q170</f>
        <v>2040</v>
      </c>
      <c r="I170" s="250">
        <v>0</v>
      </c>
      <c r="J170" s="250">
        <v>0</v>
      </c>
      <c r="K170" s="250">
        <v>0</v>
      </c>
      <c r="L170" s="463">
        <v>0.72</v>
      </c>
      <c r="M170" s="463">
        <v>0.72</v>
      </c>
      <c r="N170" s="463">
        <v>0.72</v>
      </c>
      <c r="O170" s="244">
        <f>31.536/1000</f>
        <v>3.1536000000000002E-2</v>
      </c>
      <c r="P170" s="459">
        <v>0.15</v>
      </c>
      <c r="Q170" s="245">
        <v>22</v>
      </c>
      <c r="R170" s="227">
        <v>1.05</v>
      </c>
      <c r="T170" s="268">
        <f t="shared" si="80"/>
        <v>0</v>
      </c>
      <c r="U170" s="268"/>
      <c r="V170" s="592" t="str">
        <f>'Data manipulation'!$B$36</f>
        <v>Natural gas and biogas</v>
      </c>
      <c r="W170" s="246" t="s">
        <v>168</v>
      </c>
      <c r="X170" s="246">
        <v>2019</v>
      </c>
      <c r="Y170" s="433">
        <f>_xlfn.IFNA(INDEX('Data manipulation'!$C$23:$O$39,MATCH($V170,'Data manipulation'!$B$23:$B$39,0),MATCH($X170,'Data manipulation'!$C$22:$O$22,0))/1000,0)*SUMIFS('Regional split'!$F$4:$F$6,'Regional split'!$B$4:$B$6,Y$3)*SUMIFS('Data manipulation'!$V$39:$V$42,'Data manipulation'!$X$39:$X$42,$E170,'Data manipulation'!$Y$39:$Y$42,$D170)</f>
        <v>87.574129060154888</v>
      </c>
      <c r="Z170" s="433">
        <f>_xlfn.IFNA(INDEX('Data manipulation'!$C$23:$O$39,MATCH($V170,'Data manipulation'!$B$23:$B$39,0),MATCH($X170,'Data manipulation'!$C$22:$O$22,0))/1000,0)*SUMIFS('Regional split'!$F$4:$F$6,'Regional split'!$B$4:$B$6,Z$3)*SUMIFS('Data manipulation'!$V$39:$V$42,'Data manipulation'!$X$39:$X$42,$E170,'Data manipulation'!$Y$39:$Y$42,$D170)</f>
        <v>0</v>
      </c>
      <c r="AA170" s="433">
        <f>_xlfn.IFNA(INDEX('Data manipulation'!$C$23:$O$39,MATCH($V170,'Data manipulation'!$B$23:$B$39,0),MATCH($X170,'Data manipulation'!$C$22:$O$22,0))/1000,0)*SUMIFS('Regional split'!$F$4:$F$6,'Regional split'!$B$4:$B$6,AA$3)*SUMIFS('Data manipulation'!$V$39:$V$42,'Data manipulation'!$X$39:$X$42,$E170,'Data manipulation'!$Y$39:$Y$42,$D170)</f>
        <v>0</v>
      </c>
      <c r="AB170" s="444">
        <f t="shared" si="153"/>
        <v>63.053372923311514</v>
      </c>
      <c r="AC170" s="251">
        <f t="shared" si="154"/>
        <v>0</v>
      </c>
      <c r="AD170" s="445">
        <f t="shared" si="155"/>
        <v>0</v>
      </c>
      <c r="AE170" s="262"/>
      <c r="AU170" s="260"/>
      <c r="AZ170" s="252"/>
    </row>
    <row r="171" spans="2:52" ht="15" customHeight="1">
      <c r="B171" s="227" t="str">
        <f t="shared" ref="B171:G171" si="259">B91</f>
        <v>CHTUDDSLE1</v>
      </c>
      <c r="C171" s="227" t="str">
        <f t="shared" si="259"/>
        <v>Residential Heating Technology Urban Detached - Diesel - Existing 1</v>
      </c>
      <c r="D171" s="227" t="str">
        <f t="shared" si="259"/>
        <v>Urban</v>
      </c>
      <c r="E171" s="227" t="str">
        <f t="shared" si="259"/>
        <v>Detached</v>
      </c>
      <c r="F171" s="227" t="str">
        <f t="shared" si="259"/>
        <v>COMDSL,COMDSB</v>
      </c>
      <c r="G171" s="227" t="str">
        <f t="shared" si="259"/>
        <v>COMHUDB</v>
      </c>
      <c r="H171" s="569">
        <f t="shared" si="258"/>
        <v>2038</v>
      </c>
      <c r="I171" s="250">
        <v>0</v>
      </c>
      <c r="J171" s="250">
        <v>0</v>
      </c>
      <c r="K171" s="250">
        <v>0</v>
      </c>
      <c r="L171" s="463">
        <v>0.71</v>
      </c>
      <c r="M171" s="463">
        <v>0.71</v>
      </c>
      <c r="N171" s="463">
        <v>0.71</v>
      </c>
      <c r="O171" s="244">
        <f>31.536/1000</f>
        <v>3.1536000000000002E-2</v>
      </c>
      <c r="P171" s="459">
        <v>0.15</v>
      </c>
      <c r="Q171" s="245">
        <v>20</v>
      </c>
      <c r="R171" s="227">
        <v>1.05</v>
      </c>
      <c r="T171" s="268">
        <f t="shared" si="80"/>
        <v>0</v>
      </c>
      <c r="V171" s="592" t="str">
        <f>'Data manipulation'!$B$35</f>
        <v>Oil products</v>
      </c>
      <c r="W171" s="254" t="s">
        <v>729</v>
      </c>
      <c r="X171" s="246">
        <v>2019</v>
      </c>
      <c r="Y171" s="433">
        <f>_xlfn.IFNA(INDEX('Data manipulation'!$C$23:$O$39,MATCH($V171,'Data manipulation'!$B$23:$B$39,0),MATCH($X171,'Data manipulation'!$C$22:$O$22,0))/1000,0)*SUMIFS('Regional split'!$F$4:$F$6,'Regional split'!$B$4:$B$6,Y$3)*SUMIFS('Data manipulation'!$V$39:$V$42,'Data manipulation'!$X$39:$X$42,$E171,'Data manipulation'!$Y$39:$Y$42,$D171)</f>
        <v>0</v>
      </c>
      <c r="Z171" s="433">
        <f>_xlfn.IFNA(INDEX('Data manipulation'!$C$23:$O$39,MATCH($V171,'Data manipulation'!$B$23:$B$39,0),MATCH($X171,'Data manipulation'!$C$22:$O$22,0))/1000,0)*SUMIFS('Regional split'!$F$4:$F$6,'Regional split'!$B$4:$B$6,Z$3)*SUMIFS('Data manipulation'!$V$39:$V$42,'Data manipulation'!$X$39:$X$42,$E171,'Data manipulation'!$Y$39:$Y$42,$D171)</f>
        <v>0</v>
      </c>
      <c r="AA171" s="433">
        <f>_xlfn.IFNA(INDEX('Data manipulation'!$C$23:$O$39,MATCH($V171,'Data manipulation'!$B$23:$B$39,0),MATCH($X171,'Data manipulation'!$C$22:$O$22,0))/1000,0)*SUMIFS('Regional split'!$F$4:$F$6,'Regional split'!$B$4:$B$6,AA$3)*SUMIFS('Data manipulation'!$V$39:$V$42,'Data manipulation'!$X$39:$X$42,$E171,'Data manipulation'!$Y$39:$Y$42,$D171)</f>
        <v>0</v>
      </c>
      <c r="AB171" s="444">
        <f t="shared" si="153"/>
        <v>0</v>
      </c>
      <c r="AC171" s="251">
        <f t="shared" si="154"/>
        <v>0</v>
      </c>
      <c r="AD171" s="445">
        <f t="shared" si="155"/>
        <v>0</v>
      </c>
      <c r="AE171" s="262"/>
      <c r="AU171" s="260"/>
      <c r="AZ171" s="252"/>
    </row>
    <row r="172" spans="2:52" ht="15" customHeight="1">
      <c r="B172" s="227" t="str">
        <f t="shared" ref="B172:G172" si="260">B92</f>
        <v>CHTUDWPEE1</v>
      </c>
      <c r="C172" s="227" t="str">
        <f t="shared" si="260"/>
        <v>Residential Heating Technology Urban Detached - Wood pellets - Existing 1</v>
      </c>
      <c r="D172" s="227" t="str">
        <f t="shared" si="260"/>
        <v>Urban</v>
      </c>
      <c r="E172" s="227" t="str">
        <f t="shared" si="260"/>
        <v>Detached</v>
      </c>
      <c r="F172" s="227" t="str">
        <f t="shared" si="260"/>
        <v>COMWPE</v>
      </c>
      <c r="G172" s="227" t="str">
        <f t="shared" si="260"/>
        <v>COMHUDB</v>
      </c>
      <c r="H172" s="569">
        <f t="shared" si="258"/>
        <v>2038</v>
      </c>
      <c r="I172" s="250">
        <v>0</v>
      </c>
      <c r="J172" s="250">
        <v>0</v>
      </c>
      <c r="K172" s="250">
        <v>0</v>
      </c>
      <c r="L172" s="463">
        <v>0.61</v>
      </c>
      <c r="M172" s="463">
        <v>0.61</v>
      </c>
      <c r="N172" s="463">
        <v>0.61</v>
      </c>
      <c r="O172" s="244">
        <f t="shared" ref="O172:O189" si="261">31.536/1000</f>
        <v>3.1536000000000002E-2</v>
      </c>
      <c r="P172" s="459">
        <v>0.15</v>
      </c>
      <c r="Q172" s="245">
        <v>20</v>
      </c>
      <c r="R172" s="227">
        <v>1.05</v>
      </c>
      <c r="T172" s="268">
        <f t="shared" si="80"/>
        <v>0</v>
      </c>
      <c r="U172" s="268"/>
      <c r="W172" s="254" t="s">
        <v>866</v>
      </c>
      <c r="X172" s="246">
        <v>2019</v>
      </c>
      <c r="Y172" s="433">
        <f>_xlfn.IFNA(INDEX('Data manipulation'!$C$23:$O$39,MATCH($V172,'Data manipulation'!$B$23:$B$39,0),MATCH($X172,'Data manipulation'!$C$22:$O$22,0))/1000,0)*SUMIFS('Regional split'!$F$4:$F$6,'Regional split'!$B$4:$B$6,Y$3)*SUMIFS('Data manipulation'!$V$39:$V$42,'Data manipulation'!$X$39:$X$42,$E172,'Data manipulation'!$Y$39:$Y$42,$D172)</f>
        <v>0</v>
      </c>
      <c r="Z172" s="433">
        <f>_xlfn.IFNA(INDEX('Data manipulation'!$C$23:$O$39,MATCH($V172,'Data manipulation'!$B$23:$B$39,0),MATCH($X172,'Data manipulation'!$C$22:$O$22,0))/1000,0)*SUMIFS('Regional split'!$F$4:$F$6,'Regional split'!$B$4:$B$6,Z$3)*SUMIFS('Data manipulation'!$V$39:$V$42,'Data manipulation'!$X$39:$X$42,$E172,'Data manipulation'!$Y$39:$Y$42,$D172)</f>
        <v>0</v>
      </c>
      <c r="AA172" s="433">
        <f>_xlfn.IFNA(INDEX('Data manipulation'!$C$23:$O$39,MATCH($V172,'Data manipulation'!$B$23:$B$39,0),MATCH($X172,'Data manipulation'!$C$22:$O$22,0))/1000,0)*SUMIFS('Regional split'!$F$4:$F$6,'Regional split'!$B$4:$B$6,AA$3)*SUMIFS('Data manipulation'!$V$39:$V$42,'Data manipulation'!$X$39:$X$42,$E172,'Data manipulation'!$Y$39:$Y$42,$D172)</f>
        <v>0</v>
      </c>
      <c r="AB172" s="444">
        <f t="shared" si="153"/>
        <v>0</v>
      </c>
      <c r="AC172" s="251">
        <f t="shared" si="154"/>
        <v>0</v>
      </c>
      <c r="AD172" s="445">
        <f t="shared" si="155"/>
        <v>0</v>
      </c>
      <c r="AE172" s="262"/>
      <c r="AU172" s="260"/>
      <c r="AZ172" s="252"/>
    </row>
    <row r="173" spans="2:52" ht="15" customHeight="1">
      <c r="B173" s="227" t="str">
        <f t="shared" ref="B173:G173" si="262">B93</f>
        <v>CHTUDFIWE1</v>
      </c>
      <c r="C173" s="227" t="str">
        <f t="shared" si="262"/>
        <v>Residential Heating Technology Urban Detached - Fire wood - Existing 1</v>
      </c>
      <c r="D173" s="227" t="str">
        <f t="shared" si="262"/>
        <v>Urban</v>
      </c>
      <c r="E173" s="227" t="str">
        <f t="shared" si="262"/>
        <v>Detached</v>
      </c>
      <c r="F173" s="227" t="str">
        <f t="shared" si="262"/>
        <v>COMFIW</v>
      </c>
      <c r="G173" s="227" t="str">
        <f t="shared" si="262"/>
        <v>COMHUDB</v>
      </c>
      <c r="H173" s="569">
        <f t="shared" si="258"/>
        <v>2038</v>
      </c>
      <c r="I173" s="250">
        <v>0</v>
      </c>
      <c r="J173" s="250">
        <v>0</v>
      </c>
      <c r="K173" s="250">
        <v>0</v>
      </c>
      <c r="L173" s="463">
        <v>0.65000022993955098</v>
      </c>
      <c r="M173" s="463">
        <v>0.65000022993955098</v>
      </c>
      <c r="N173" s="463">
        <v>0.65000022993955098</v>
      </c>
      <c r="O173" s="244">
        <f t="shared" si="261"/>
        <v>3.1536000000000002E-2</v>
      </c>
      <c r="P173" s="459">
        <v>0.15</v>
      </c>
      <c r="Q173" s="245">
        <v>20</v>
      </c>
      <c r="R173" s="227">
        <v>1.05</v>
      </c>
      <c r="T173" s="268">
        <f t="shared" si="80"/>
        <v>0</v>
      </c>
      <c r="U173" s="268"/>
      <c r="V173" s="592" t="str">
        <f>'Data manipulation'!$B$31</f>
        <v>Primary solid biofuels</v>
      </c>
      <c r="W173" s="254" t="s">
        <v>177</v>
      </c>
      <c r="X173" s="246">
        <v>2019</v>
      </c>
      <c r="Y173" s="433">
        <f>_xlfn.IFNA(INDEX('Data manipulation'!$C$23:$O$39,MATCH($V173,'Data manipulation'!$B$23:$B$39,0),MATCH($X173,'Data manipulation'!$C$22:$O$22,0))/1000,0)*SUMIFS('Regional split'!$F$4:$F$6,'Regional split'!$B$4:$B$6,Y$3)*SUMIFS('Data manipulation'!$V$39:$V$42,'Data manipulation'!$X$39:$X$42,$E173,'Data manipulation'!$Y$39:$Y$42,$D173)</f>
        <v>15.031012744810324</v>
      </c>
      <c r="Z173" s="433">
        <f>_xlfn.IFNA(INDEX('Data manipulation'!$C$23:$O$39,MATCH($V173,'Data manipulation'!$B$23:$B$39,0),MATCH($X173,'Data manipulation'!$C$22:$O$22,0))/1000,0)*SUMIFS('Regional split'!$F$4:$F$6,'Regional split'!$B$4:$B$6,Z$3)*SUMIFS('Data manipulation'!$V$39:$V$42,'Data manipulation'!$X$39:$X$42,$E173,'Data manipulation'!$Y$39:$Y$42,$D173)</f>
        <v>0</v>
      </c>
      <c r="AA173" s="433">
        <f>_xlfn.IFNA(INDEX('Data manipulation'!$C$23:$O$39,MATCH($V173,'Data manipulation'!$B$23:$B$39,0),MATCH($X173,'Data manipulation'!$C$22:$O$22,0))/1000,0)*SUMIFS('Regional split'!$F$4:$F$6,'Regional split'!$B$4:$B$6,AA$3)*SUMIFS('Data manipulation'!$V$39:$V$42,'Data manipulation'!$X$39:$X$42,$E173,'Data manipulation'!$Y$39:$Y$42,$D173)</f>
        <v>0</v>
      </c>
      <c r="AB173" s="444">
        <f t="shared" si="153"/>
        <v>9.7701617403510319</v>
      </c>
      <c r="AC173" s="251">
        <f t="shared" si="154"/>
        <v>0</v>
      </c>
      <c r="AD173" s="445">
        <f t="shared" si="155"/>
        <v>0</v>
      </c>
      <c r="AE173" s="262"/>
      <c r="AU173" s="260"/>
      <c r="AZ173" s="252"/>
    </row>
    <row r="174" spans="2:52" ht="15" customHeight="1">
      <c r="B174" s="233" t="str">
        <f t="shared" ref="B174:G174" si="263">B94</f>
        <v>CHTUDCOAE1</v>
      </c>
      <c r="C174" s="233" t="str">
        <f t="shared" si="263"/>
        <v>Residential Heating Technology Urban Detached - Coal - Existing 1</v>
      </c>
      <c r="D174" s="233" t="str">
        <f t="shared" si="263"/>
        <v>Urban</v>
      </c>
      <c r="E174" s="233" t="str">
        <f t="shared" si="263"/>
        <v>Detached</v>
      </c>
      <c r="F174" s="233" t="str">
        <f t="shared" si="263"/>
        <v>COMCOA</v>
      </c>
      <c r="G174" s="233" t="str">
        <f t="shared" si="263"/>
        <v>COMHUDB</v>
      </c>
      <c r="H174" s="569">
        <f t="shared" si="258"/>
        <v>2038</v>
      </c>
      <c r="I174" s="250">
        <v>0</v>
      </c>
      <c r="J174" s="250">
        <v>0</v>
      </c>
      <c r="K174" s="250">
        <v>0</v>
      </c>
      <c r="L174" s="463">
        <v>0.7</v>
      </c>
      <c r="M174" s="463">
        <v>0.7</v>
      </c>
      <c r="N174" s="463">
        <v>0.7</v>
      </c>
      <c r="O174" s="244">
        <f t="shared" si="261"/>
        <v>3.1536000000000002E-2</v>
      </c>
      <c r="P174" s="459">
        <v>0.15</v>
      </c>
      <c r="Q174" s="245">
        <v>20</v>
      </c>
      <c r="R174" s="227">
        <v>1.05</v>
      </c>
      <c r="T174" s="268">
        <f t="shared" si="80"/>
        <v>0</v>
      </c>
      <c r="U174" s="268"/>
      <c r="V174" s="592" t="str">
        <f>'Data manipulation'!$B$23</f>
        <v>Solid fossil fuels, peat, peat products, oil shale and oil sands</v>
      </c>
      <c r="W174" s="254" t="s">
        <v>863</v>
      </c>
      <c r="X174" s="246">
        <v>2019</v>
      </c>
      <c r="Y174" s="433">
        <f>_xlfn.IFNA(INDEX('Data manipulation'!$C$23:$O$39,MATCH($V174,'Data manipulation'!$B$23:$B$39,0),MATCH($X174,'Data manipulation'!$C$22:$O$22,0))/1000,0)*SUMIFS('Regional split'!$F$4:$F$6,'Regional split'!$B$4:$B$6,Y$3)*SUMIFS('Data manipulation'!$V$39:$V$42,'Data manipulation'!$X$39:$X$42,$E174,'Data manipulation'!$Y$39:$Y$42,$D174)</f>
        <v>2.0709772000000001E-2</v>
      </c>
      <c r="Z174" s="433">
        <f>_xlfn.IFNA(INDEX('Data manipulation'!$C$23:$O$39,MATCH($V174,'Data manipulation'!$B$23:$B$39,0),MATCH($X174,'Data manipulation'!$C$22:$O$22,0))/1000,0)*SUMIFS('Regional split'!$F$4:$F$6,'Regional split'!$B$4:$B$6,Z$3)*SUMIFS('Data manipulation'!$V$39:$V$42,'Data manipulation'!$X$39:$X$42,$E174,'Data manipulation'!$Y$39:$Y$42,$D174)</f>
        <v>0</v>
      </c>
      <c r="AA174" s="433">
        <f>_xlfn.IFNA(INDEX('Data manipulation'!$C$23:$O$39,MATCH($V174,'Data manipulation'!$B$23:$B$39,0),MATCH($X174,'Data manipulation'!$C$22:$O$22,0))/1000,0)*SUMIFS('Regional split'!$F$4:$F$6,'Regional split'!$B$4:$B$6,AA$3)*SUMIFS('Data manipulation'!$V$39:$V$42,'Data manipulation'!$X$39:$X$42,$E174,'Data manipulation'!$Y$39:$Y$42,$D174)</f>
        <v>0</v>
      </c>
      <c r="AB174" s="444">
        <f t="shared" si="153"/>
        <v>1.4496840400000001E-2</v>
      </c>
      <c r="AC174" s="251">
        <f t="shared" si="154"/>
        <v>0</v>
      </c>
      <c r="AD174" s="445">
        <f t="shared" si="155"/>
        <v>0</v>
      </c>
      <c r="AE174" s="262"/>
      <c r="AU174" s="260"/>
      <c r="AZ174" s="252"/>
    </row>
    <row r="175" spans="2:52" ht="15" customHeight="1">
      <c r="B175" s="233" t="str">
        <f t="shared" ref="B175:G175" si="264">B95</f>
        <v>CHTUDSOLE1</v>
      </c>
      <c r="C175" s="233" t="str">
        <f t="shared" si="264"/>
        <v>Residential Heating Technology Urban Detached - Solar - Existing 1</v>
      </c>
      <c r="D175" s="233" t="str">
        <f t="shared" si="264"/>
        <v>Urban</v>
      </c>
      <c r="E175" s="233" t="str">
        <f t="shared" si="264"/>
        <v>Detached</v>
      </c>
      <c r="F175" s="233" t="str">
        <f t="shared" si="264"/>
        <v>COMSOL</v>
      </c>
      <c r="G175" s="233" t="str">
        <f t="shared" si="264"/>
        <v>COMHUDB</v>
      </c>
      <c r="H175" s="569">
        <f t="shared" si="258"/>
        <v>2038</v>
      </c>
      <c r="I175" s="250">
        <v>0</v>
      </c>
      <c r="J175" s="250">
        <v>0</v>
      </c>
      <c r="K175" s="250">
        <v>0</v>
      </c>
      <c r="L175" s="463">
        <v>1</v>
      </c>
      <c r="M175" s="463">
        <v>1</v>
      </c>
      <c r="N175" s="463">
        <v>1</v>
      </c>
      <c r="O175" s="244">
        <f t="shared" si="261"/>
        <v>3.1536000000000002E-2</v>
      </c>
      <c r="P175" s="459">
        <v>0.15</v>
      </c>
      <c r="Q175" s="245">
        <v>20</v>
      </c>
      <c r="R175" s="227">
        <v>1.05</v>
      </c>
      <c r="T175" s="268">
        <f t="shared" si="80"/>
        <v>0</v>
      </c>
      <c r="U175" s="268"/>
      <c r="V175" s="592" t="str">
        <f>'Data manipulation'!$B$29</f>
        <v>Solar thermal</v>
      </c>
      <c r="W175" s="254" t="s">
        <v>169</v>
      </c>
      <c r="X175" s="246">
        <v>2019</v>
      </c>
      <c r="Y175" s="433">
        <f>_xlfn.IFNA(INDEX('Data manipulation'!$C$23:$O$39,MATCH($V175,'Data manipulation'!$B$23:$B$39,0),MATCH($X175,'Data manipulation'!$C$22:$O$22,0))/1000,0)*SUMIFS('Regional split'!$F$4:$F$6,'Regional split'!$B$4:$B$6,Y$3)*SUMIFS('Data manipulation'!$V$39:$V$42,'Data manipulation'!$X$39:$X$42,$E175,'Data manipulation'!$Y$39:$Y$42,$D175)</f>
        <v>4.4542096000000003E-2</v>
      </c>
      <c r="Z175" s="433">
        <f>_xlfn.IFNA(INDEX('Data manipulation'!$C$23:$O$39,MATCH($V175,'Data manipulation'!$B$23:$B$39,0),MATCH($X175,'Data manipulation'!$C$22:$O$22,0))/1000,0)*SUMIFS('Regional split'!$F$4:$F$6,'Regional split'!$B$4:$B$6,Z$3)*SUMIFS('Data manipulation'!$V$39:$V$42,'Data manipulation'!$X$39:$X$42,$E175,'Data manipulation'!$Y$39:$Y$42,$D175)</f>
        <v>0</v>
      </c>
      <c r="AA175" s="433">
        <f>_xlfn.IFNA(INDEX('Data manipulation'!$C$23:$O$39,MATCH($V175,'Data manipulation'!$B$23:$B$39,0),MATCH($X175,'Data manipulation'!$C$22:$O$22,0))/1000,0)*SUMIFS('Regional split'!$F$4:$F$6,'Regional split'!$B$4:$B$6,AA$3)*SUMIFS('Data manipulation'!$V$39:$V$42,'Data manipulation'!$X$39:$X$42,$E175,'Data manipulation'!$Y$39:$Y$42,$D175)</f>
        <v>0</v>
      </c>
      <c r="AB175" s="444">
        <f t="shared" si="153"/>
        <v>4.4542096000000003E-2</v>
      </c>
      <c r="AC175" s="251">
        <f t="shared" si="154"/>
        <v>0</v>
      </c>
      <c r="AD175" s="445">
        <f t="shared" si="155"/>
        <v>0</v>
      </c>
      <c r="AE175" s="262"/>
      <c r="AU175" s="260"/>
      <c r="AZ175" s="252"/>
    </row>
    <row r="176" spans="2:52" ht="15" customHeight="1">
      <c r="B176" s="233" t="str">
        <f t="shared" ref="B176:G176" si="265">B96</f>
        <v>CHTUDELCHE1</v>
      </c>
      <c r="C176" s="233" t="str">
        <f t="shared" si="265"/>
        <v>Residential Heating Technology Urban Detached - Electricity Heating - Existing 1</v>
      </c>
      <c r="D176" s="233" t="str">
        <f t="shared" si="265"/>
        <v>Urban</v>
      </c>
      <c r="E176" s="233" t="str">
        <f t="shared" si="265"/>
        <v>Detached</v>
      </c>
      <c r="F176" s="233" t="str">
        <f t="shared" si="265"/>
        <v>COMELCH</v>
      </c>
      <c r="G176" s="233" t="str">
        <f t="shared" si="265"/>
        <v>COMHUDB</v>
      </c>
      <c r="H176" s="569">
        <f t="shared" si="258"/>
        <v>2048</v>
      </c>
      <c r="I176" s="250">
        <v>0</v>
      </c>
      <c r="J176" s="250">
        <v>0</v>
      </c>
      <c r="K176" s="250">
        <v>0</v>
      </c>
      <c r="L176" s="463">
        <v>1</v>
      </c>
      <c r="M176" s="463">
        <v>1</v>
      </c>
      <c r="N176" s="463">
        <v>1</v>
      </c>
      <c r="O176" s="244">
        <f t="shared" si="261"/>
        <v>3.1536000000000002E-2</v>
      </c>
      <c r="P176" s="459">
        <v>0.15</v>
      </c>
      <c r="Q176" s="245">
        <v>30</v>
      </c>
      <c r="R176" s="227">
        <v>1.05</v>
      </c>
      <c r="T176" s="268">
        <f t="shared" si="80"/>
        <v>0</v>
      </c>
      <c r="U176" s="268"/>
      <c r="V176" s="592" t="str">
        <f>'Data manipulation'!$B$33</f>
        <v>Electricity</v>
      </c>
      <c r="W176" s="254" t="s">
        <v>170</v>
      </c>
      <c r="X176" s="246">
        <v>2019</v>
      </c>
      <c r="Y176" s="433">
        <f>_xlfn.IFNA(INDEX('Data manipulation'!$C$23:$O$39,MATCH($V176,'Data manipulation'!$B$23:$B$39,0),MATCH($X176,'Data manipulation'!$C$22:$O$22,0))/1000,0)*SUMIFS('Regional split'!$F$4:$F$6,'Regional split'!$B$4:$B$6,Y$3)*SUMIFS('Data manipulation'!$V$39:$V$42,'Data manipulation'!$X$39:$X$42,$E176,'Data manipulation'!$Y$39:$Y$42,$D176)</f>
        <v>7.4219855920096727</v>
      </c>
      <c r="Z176" s="433">
        <f>_xlfn.IFNA(INDEX('Data manipulation'!$C$23:$O$39,MATCH($V176,'Data manipulation'!$B$23:$B$39,0),MATCH($X176,'Data manipulation'!$C$22:$O$22,0))/1000,0)*SUMIFS('Regional split'!$F$4:$F$6,'Regional split'!$B$4:$B$6,Z$3)*SUMIFS('Data manipulation'!$V$39:$V$42,'Data manipulation'!$X$39:$X$42,$E176,'Data manipulation'!$Y$39:$Y$42,$D176)</f>
        <v>0</v>
      </c>
      <c r="AA176" s="433">
        <f>_xlfn.IFNA(INDEX('Data manipulation'!$C$23:$O$39,MATCH($V176,'Data manipulation'!$B$23:$B$39,0),MATCH($X176,'Data manipulation'!$C$22:$O$22,0))/1000,0)*SUMIFS('Regional split'!$F$4:$F$6,'Regional split'!$B$4:$B$6,AA$3)*SUMIFS('Data manipulation'!$V$39:$V$42,'Data manipulation'!$X$39:$X$42,$E176,'Data manipulation'!$Y$39:$Y$42,$D176)</f>
        <v>0</v>
      </c>
      <c r="AB176" s="444">
        <f t="shared" si="153"/>
        <v>7.4219855920096727</v>
      </c>
      <c r="AC176" s="251">
        <f t="shared" si="154"/>
        <v>0</v>
      </c>
      <c r="AD176" s="445">
        <f t="shared" si="155"/>
        <v>0</v>
      </c>
      <c r="AU176" s="260"/>
      <c r="AZ176" s="252"/>
    </row>
    <row r="177" spans="2:52" ht="15" customHeight="1">
      <c r="B177" s="233" t="str">
        <f t="shared" ref="B177:G177" si="266">B97</f>
        <v>CHTUDELCHE2</v>
      </c>
      <c r="C177" s="233" t="str">
        <f t="shared" si="266"/>
        <v>Residential Heating Technology Urban Detached - Electricity Heating - Existing 2</v>
      </c>
      <c r="D177" s="233" t="str">
        <f t="shared" si="266"/>
        <v>Urban</v>
      </c>
      <c r="E177" s="233" t="str">
        <f t="shared" si="266"/>
        <v>Detached</v>
      </c>
      <c r="F177" s="233" t="str">
        <f t="shared" si="266"/>
        <v>COMELCH</v>
      </c>
      <c r="G177" s="233" t="str">
        <f t="shared" si="266"/>
        <v>COMHUDB</v>
      </c>
      <c r="H177" s="569">
        <f t="shared" si="258"/>
        <v>2048</v>
      </c>
      <c r="I177" s="250">
        <v>0</v>
      </c>
      <c r="J177" s="250">
        <v>0</v>
      </c>
      <c r="K177" s="250">
        <v>0</v>
      </c>
      <c r="L177" s="463">
        <v>2.3149999999999999</v>
      </c>
      <c r="M177" s="463">
        <v>2.3149999999999999</v>
      </c>
      <c r="N177" s="463">
        <v>2.3149999999999999</v>
      </c>
      <c r="O177" s="244">
        <f t="shared" si="261"/>
        <v>3.1536000000000002E-2</v>
      </c>
      <c r="P177" s="459">
        <v>0.15</v>
      </c>
      <c r="Q177" s="245">
        <v>30</v>
      </c>
      <c r="R177" s="227">
        <v>1.05</v>
      </c>
      <c r="T177" s="268">
        <f t="shared" si="80"/>
        <v>0</v>
      </c>
      <c r="U177" s="268"/>
      <c r="V177" s="592" t="str">
        <f>'Data manipulation'!$B$30</f>
        <v>Ambient heat (heat pumps)</v>
      </c>
      <c r="W177" s="254" t="s">
        <v>171</v>
      </c>
      <c r="X177" s="246">
        <v>2019</v>
      </c>
      <c r="Y177" s="433">
        <f>_xlfn.IFNA(INDEX('Data manipulation'!$C$23:$O$39,MATCH($V177,'Data manipulation'!$B$23:$B$39,0),MATCH($X177,'Data manipulation'!$C$22:$O$22,0))/1000,0)*SUMIFS('Regional split'!$F$4:$F$6,'Regional split'!$B$4:$B$6,Y$3)*SUMIFS('Data manipulation'!$V$39:$V$42,'Data manipulation'!$X$39:$X$42,$E177,'Data manipulation'!$Y$39:$Y$42,$D177)</f>
        <v>1.0242013600000002</v>
      </c>
      <c r="Z177" s="433">
        <f>_xlfn.IFNA(INDEX('Data manipulation'!$C$23:$O$39,MATCH($V177,'Data manipulation'!$B$23:$B$39,0),MATCH($X177,'Data manipulation'!$C$22:$O$22,0))/1000,0)*SUMIFS('Regional split'!$F$4:$F$6,'Regional split'!$B$4:$B$6,Z$3)*SUMIFS('Data manipulation'!$V$39:$V$42,'Data manipulation'!$X$39:$X$42,$E177,'Data manipulation'!$Y$39:$Y$42,$D177)</f>
        <v>0</v>
      </c>
      <c r="AA177" s="433">
        <f>_xlfn.IFNA(INDEX('Data manipulation'!$C$23:$O$39,MATCH($V177,'Data manipulation'!$B$23:$B$39,0),MATCH($X177,'Data manipulation'!$C$22:$O$22,0))/1000,0)*SUMIFS('Regional split'!$F$4:$F$6,'Regional split'!$B$4:$B$6,AA$3)*SUMIFS('Data manipulation'!$V$39:$V$42,'Data manipulation'!$X$39:$X$42,$E177,'Data manipulation'!$Y$39:$Y$42,$D177)</f>
        <v>0</v>
      </c>
      <c r="AB177" s="444">
        <f t="shared" si="153"/>
        <v>2.3710261484000004</v>
      </c>
      <c r="AC177" s="251">
        <f t="shared" si="154"/>
        <v>0</v>
      </c>
      <c r="AD177" s="445">
        <f t="shared" si="155"/>
        <v>0</v>
      </c>
      <c r="AU177" s="260"/>
      <c r="AZ177" s="252"/>
    </row>
    <row r="178" spans="2:52" ht="15" customHeight="1">
      <c r="B178" s="233" t="str">
        <f t="shared" ref="B178:G178" si="267">B98</f>
        <v>CHTUDHCEE1</v>
      </c>
      <c r="C178" s="233" t="str">
        <f t="shared" si="267"/>
        <v>Residential Heating Technology Urban Detached - District heating Central - Existing 1</v>
      </c>
      <c r="D178" s="233" t="str">
        <f t="shared" si="267"/>
        <v>Urban</v>
      </c>
      <c r="E178" s="233" t="str">
        <f t="shared" si="267"/>
        <v>Detached</v>
      </c>
      <c r="F178" s="233" t="str">
        <f t="shared" si="267"/>
        <v>COMHCE</v>
      </c>
      <c r="G178" s="233" t="str">
        <f t="shared" si="267"/>
        <v>COMHUDX</v>
      </c>
      <c r="H178" s="569">
        <f t="shared" si="258"/>
        <v>2048</v>
      </c>
      <c r="I178" s="568">
        <v>0</v>
      </c>
      <c r="J178" s="568">
        <v>0</v>
      </c>
      <c r="K178" s="568">
        <v>0</v>
      </c>
      <c r="L178" s="463">
        <v>0.95</v>
      </c>
      <c r="M178" s="463">
        <v>0.95</v>
      </c>
      <c r="N178" s="463">
        <v>0.95</v>
      </c>
      <c r="O178" s="244">
        <f t="shared" si="261"/>
        <v>3.1536000000000002E-2</v>
      </c>
      <c r="P178" s="459">
        <v>0.15</v>
      </c>
      <c r="Q178" s="245">
        <v>30</v>
      </c>
      <c r="R178" s="227">
        <v>1.05</v>
      </c>
      <c r="T178" s="268">
        <f t="shared" si="80"/>
        <v>0</v>
      </c>
      <c r="U178" s="268"/>
      <c r="V178" s="592" t="str">
        <f>'Data manipulation'!$B$34</f>
        <v>Heat</v>
      </c>
      <c r="W178" s="254" t="s">
        <v>172</v>
      </c>
      <c r="X178" s="246">
        <v>2019</v>
      </c>
      <c r="Y178" s="433">
        <f>_xlfn.IFNA(INDEX('Data manipulation'!$C$23:$O$39,MATCH($V178,'Data manipulation'!$B$23:$B$39,0),MATCH($X178,'Data manipulation'!$C$22:$O$22,0))/1000,0)*SUMIFS('Regional split'!$F$4:$F$6,'Regional split'!$B$4:$B$6,Y$3)*SUMIFS('Data manipulation'!$V$39:$V$42,'Data manipulation'!$X$39:$X$42,$E178,'Data manipulation'!$Y$39:$Y$42,$D178)</f>
        <v>14.243513858646621</v>
      </c>
      <c r="Z178" s="433">
        <f>_xlfn.IFNA(INDEX('Data manipulation'!$C$23:$O$39,MATCH($V178,'Data manipulation'!$B$23:$B$39,0),MATCH($X178,'Data manipulation'!$C$22:$O$22,0))/1000,0)*SUMIFS('Regional split'!$F$4:$F$6,'Regional split'!$B$4:$B$6,Z$3)*SUMIFS('Data manipulation'!$V$39:$V$42,'Data manipulation'!$X$39:$X$42,$E178,'Data manipulation'!$Y$39:$Y$42,$D178)</f>
        <v>0</v>
      </c>
      <c r="AA178" s="433">
        <f>_xlfn.IFNA(INDEX('Data manipulation'!$C$23:$O$39,MATCH($V178,'Data manipulation'!$B$23:$B$39,0),MATCH($X178,'Data manipulation'!$C$22:$O$22,0))/1000,0)*SUMIFS('Regional split'!$F$4:$F$6,'Regional split'!$B$4:$B$6,AA$3)*SUMIFS('Data manipulation'!$V$39:$V$42,'Data manipulation'!$X$39:$X$42,$E178,'Data manipulation'!$Y$39:$Y$42,$D178)</f>
        <v>0</v>
      </c>
      <c r="AB178" s="444">
        <f t="shared" si="153"/>
        <v>13.531338165714288</v>
      </c>
      <c r="AC178" s="251">
        <f t="shared" si="154"/>
        <v>0</v>
      </c>
      <c r="AD178" s="445">
        <f t="shared" si="155"/>
        <v>0</v>
      </c>
      <c r="AU178" s="260"/>
      <c r="AZ178" s="252"/>
    </row>
    <row r="179" spans="2:52" ht="15" customHeight="1" thickBot="1">
      <c r="B179" s="255" t="str">
        <f t="shared" ref="B179:G179" si="268">B99</f>
        <v>CHTUDLPGE1</v>
      </c>
      <c r="C179" s="255" t="str">
        <f t="shared" si="268"/>
        <v>Residential Heating Technology Urban Detached - LPG - Existing 1</v>
      </c>
      <c r="D179" s="531" t="str">
        <f t="shared" si="268"/>
        <v>Urban</v>
      </c>
      <c r="E179" s="531" t="str">
        <f t="shared" si="268"/>
        <v>Detached</v>
      </c>
      <c r="F179" s="255" t="str">
        <f t="shared" si="268"/>
        <v>COMLPG</v>
      </c>
      <c r="G179" s="255" t="str">
        <f t="shared" si="268"/>
        <v>COMHUDB</v>
      </c>
      <c r="H179" s="571">
        <f t="shared" si="258"/>
        <v>2048</v>
      </c>
      <c r="I179" s="297">
        <v>0</v>
      </c>
      <c r="J179" s="297">
        <v>0</v>
      </c>
      <c r="K179" s="297">
        <v>0</v>
      </c>
      <c r="L179" s="464">
        <v>0.95</v>
      </c>
      <c r="M179" s="464">
        <v>0.95</v>
      </c>
      <c r="N179" s="464">
        <v>0.95</v>
      </c>
      <c r="O179" s="257">
        <f t="shared" si="261"/>
        <v>3.1536000000000002E-2</v>
      </c>
      <c r="P179" s="460">
        <v>0.15</v>
      </c>
      <c r="Q179" s="258">
        <v>30</v>
      </c>
      <c r="R179" s="227">
        <v>1.05</v>
      </c>
      <c r="T179" s="268">
        <f t="shared" ref="T179:T209" si="269">SUM(I179:K179)*O179*P179/L179</f>
        <v>0</v>
      </c>
      <c r="U179" s="268"/>
      <c r="V179" s="593" t="str">
        <f>'Data manipulation'!$B$25</f>
        <v>Liquefied natural gas</v>
      </c>
      <c r="W179" s="428" t="s">
        <v>771</v>
      </c>
      <c r="X179" s="246">
        <v>2019</v>
      </c>
      <c r="Y179" s="433">
        <f>_xlfn.IFNA(INDEX('Data manipulation'!$C$23:$O$39,MATCH($V179,'Data manipulation'!$B$23:$B$39,0),MATCH($X179,'Data manipulation'!$C$22:$O$22,0))/1000,0)*SUMIFS('Regional split'!$F$4:$F$6,'Regional split'!$B$4:$B$6,Y$3)*SUMIFS('Data manipulation'!$V$39:$V$42,'Data manipulation'!$X$39:$X$42,$E179,'Data manipulation'!$Y$39:$Y$42,$D179)</f>
        <v>1.782549542129412</v>
      </c>
      <c r="Z179" s="433">
        <f>_xlfn.IFNA(INDEX('Data manipulation'!$C$23:$O$39,MATCH($V179,'Data manipulation'!$B$23:$B$39,0),MATCH($X179,'Data manipulation'!$C$22:$O$22,0))/1000,0)*SUMIFS('Regional split'!$F$4:$F$6,'Regional split'!$B$4:$B$6,Z$3)*SUMIFS('Data manipulation'!$V$39:$V$42,'Data manipulation'!$X$39:$X$42,$E179,'Data manipulation'!$Y$39:$Y$42,$D179)</f>
        <v>0</v>
      </c>
      <c r="AA179" s="433">
        <f>_xlfn.IFNA(INDEX('Data manipulation'!$C$23:$O$39,MATCH($V179,'Data manipulation'!$B$23:$B$39,0),MATCH($X179,'Data manipulation'!$C$22:$O$22,0))/1000,0)*SUMIFS('Regional split'!$F$4:$F$6,'Regional split'!$B$4:$B$6,AA$3)*SUMIFS('Data manipulation'!$V$39:$V$42,'Data manipulation'!$X$39:$X$42,$E179,'Data manipulation'!$Y$39:$Y$42,$D179)</f>
        <v>0</v>
      </c>
      <c r="AB179" s="451">
        <f t="shared" si="153"/>
        <v>1.6934220650229412</v>
      </c>
      <c r="AC179" s="277">
        <f t="shared" si="154"/>
        <v>0</v>
      </c>
      <c r="AD179" s="447">
        <f t="shared" si="155"/>
        <v>0</v>
      </c>
      <c r="AU179" s="260"/>
      <c r="AZ179" s="252"/>
    </row>
    <row r="180" spans="2:52" ht="15" customHeight="1">
      <c r="B180" s="233" t="str">
        <f t="shared" ref="B180:G180" si="270">B100</f>
        <v>CHTRDNGAE1</v>
      </c>
      <c r="C180" s="233" t="str">
        <f t="shared" si="270"/>
        <v>Residential Heating Technology Rural Detached - Natural Gas - Existing 1</v>
      </c>
      <c r="D180" s="233" t="str">
        <f t="shared" si="270"/>
        <v>Rural</v>
      </c>
      <c r="E180" s="233" t="str">
        <f t="shared" si="270"/>
        <v>Detached</v>
      </c>
      <c r="F180" s="233" t="str">
        <f t="shared" si="270"/>
        <v>COMNGA,COMSNG</v>
      </c>
      <c r="G180" s="233" t="str">
        <f t="shared" si="270"/>
        <v>COMHRDB</v>
      </c>
      <c r="H180" s="570">
        <f t="shared" si="258"/>
        <v>2043</v>
      </c>
      <c r="I180" s="250">
        <v>0</v>
      </c>
      <c r="J180" s="250">
        <v>0</v>
      </c>
      <c r="K180" s="250">
        <v>0</v>
      </c>
      <c r="L180" s="463">
        <v>0.79</v>
      </c>
      <c r="M180" s="463">
        <v>0.79</v>
      </c>
      <c r="N180" s="463">
        <v>0.79</v>
      </c>
      <c r="O180" s="244">
        <f t="shared" si="261"/>
        <v>3.1536000000000002E-2</v>
      </c>
      <c r="P180" s="459">
        <v>0.15</v>
      </c>
      <c r="Q180" s="245">
        <v>25</v>
      </c>
      <c r="R180" s="227">
        <v>1.05</v>
      </c>
      <c r="T180" s="268">
        <f t="shared" si="269"/>
        <v>0</v>
      </c>
      <c r="U180" s="268"/>
      <c r="V180" s="592" t="str">
        <f>'Data manipulation'!$B$36</f>
        <v>Natural gas and biogas</v>
      </c>
      <c r="W180" s="246" t="s">
        <v>168</v>
      </c>
      <c r="X180" s="246">
        <v>2019</v>
      </c>
      <c r="Y180" s="433">
        <f>_xlfn.IFNA(INDEX('Data manipulation'!$C$23:$O$39,MATCH($V180,'Data manipulation'!$B$23:$B$39,0),MATCH($X180,'Data manipulation'!$C$22:$O$22,0))/1000,0)*SUMIFS('Regional split'!$F$4:$F$6,'Regional split'!$B$4:$B$6,Y$3)*SUMIFS('Data manipulation'!$V$39:$V$42,'Data manipulation'!$X$39:$X$42,$E180,'Data manipulation'!$Y$39:$Y$42,$D180)</f>
        <v>141.94171104173802</v>
      </c>
      <c r="Z180" s="433">
        <f>_xlfn.IFNA(INDEX('Data manipulation'!$C$23:$O$39,MATCH($V180,'Data manipulation'!$B$23:$B$39,0),MATCH($X180,'Data manipulation'!$C$22:$O$22,0))/1000,0)*SUMIFS('Regional split'!$F$4:$F$6,'Regional split'!$B$4:$B$6,Z$3)*SUMIFS('Data manipulation'!$V$39:$V$42,'Data manipulation'!$X$39:$X$42,$E180,'Data manipulation'!$Y$39:$Y$42,$D180)</f>
        <v>0</v>
      </c>
      <c r="AA180" s="433">
        <f>_xlfn.IFNA(INDEX('Data manipulation'!$C$23:$O$39,MATCH($V180,'Data manipulation'!$B$23:$B$39,0),MATCH($X180,'Data manipulation'!$C$22:$O$22,0))/1000,0)*SUMIFS('Regional split'!$F$4:$F$6,'Regional split'!$B$4:$B$6,AA$3)*SUMIFS('Data manipulation'!$V$39:$V$42,'Data manipulation'!$X$39:$X$42,$E180,'Data manipulation'!$Y$39:$Y$42,$D180)</f>
        <v>0</v>
      </c>
      <c r="AB180" s="452">
        <f t="shared" si="153"/>
        <v>112.13395172297304</v>
      </c>
      <c r="AC180" s="278">
        <f t="shared" si="154"/>
        <v>0</v>
      </c>
      <c r="AD180" s="448">
        <f t="shared" si="155"/>
        <v>0</v>
      </c>
      <c r="AU180" s="260"/>
      <c r="AZ180" s="252"/>
    </row>
    <row r="181" spans="2:52" ht="15" customHeight="1">
      <c r="B181" s="233" t="str">
        <f t="shared" ref="B181:G181" si="271">B101</f>
        <v>CHTRDDSLE1</v>
      </c>
      <c r="C181" s="233" t="str">
        <f t="shared" si="271"/>
        <v>Residential Heating Technology Rural Detached - Diesel - Existing 1</v>
      </c>
      <c r="D181" s="233" t="str">
        <f t="shared" si="271"/>
        <v>Rural</v>
      </c>
      <c r="E181" s="233" t="str">
        <f t="shared" si="271"/>
        <v>Detached</v>
      </c>
      <c r="F181" s="233" t="str">
        <f t="shared" si="271"/>
        <v>COMDSL,COMDSB</v>
      </c>
      <c r="G181" s="233" t="str">
        <f t="shared" si="271"/>
        <v>COMHRDB</v>
      </c>
      <c r="H181" s="570">
        <f t="shared" si="258"/>
        <v>2038</v>
      </c>
      <c r="I181" s="250">
        <v>0</v>
      </c>
      <c r="J181" s="250">
        <v>0</v>
      </c>
      <c r="K181" s="250">
        <v>0</v>
      </c>
      <c r="L181" s="463">
        <v>0.79</v>
      </c>
      <c r="M181" s="463">
        <v>0.79</v>
      </c>
      <c r="N181" s="463">
        <v>0.79</v>
      </c>
      <c r="O181" s="244">
        <f t="shared" si="261"/>
        <v>3.1536000000000002E-2</v>
      </c>
      <c r="P181" s="459">
        <v>0.15</v>
      </c>
      <c r="Q181" s="245">
        <v>20</v>
      </c>
      <c r="R181" s="227">
        <v>1.05</v>
      </c>
      <c r="T181" s="268">
        <f t="shared" si="269"/>
        <v>0</v>
      </c>
      <c r="V181" s="592" t="str">
        <f>'Data manipulation'!$B$35</f>
        <v>Oil products</v>
      </c>
      <c r="W181" s="254" t="s">
        <v>729</v>
      </c>
      <c r="X181" s="246">
        <v>2019</v>
      </c>
      <c r="Y181" s="433">
        <f>_xlfn.IFNA(INDEX('Data manipulation'!$C$23:$O$39,MATCH($V181,'Data manipulation'!$B$23:$B$39,0),MATCH($X181,'Data manipulation'!$C$22:$O$22,0))/1000,0)*SUMIFS('Regional split'!$F$4:$F$6,'Regional split'!$B$4:$B$6,Y$3)*SUMIFS('Data manipulation'!$V$39:$V$42,'Data manipulation'!$X$39:$X$42,$E181,'Data manipulation'!$Y$39:$Y$42,$D181)</f>
        <v>0</v>
      </c>
      <c r="Z181" s="433">
        <f>_xlfn.IFNA(INDEX('Data manipulation'!$C$23:$O$39,MATCH($V181,'Data manipulation'!$B$23:$B$39,0),MATCH($X181,'Data manipulation'!$C$22:$O$22,0))/1000,0)*SUMIFS('Regional split'!$F$4:$F$6,'Regional split'!$B$4:$B$6,Z$3)*SUMIFS('Data manipulation'!$V$39:$V$42,'Data manipulation'!$X$39:$X$42,$E181,'Data manipulation'!$Y$39:$Y$42,$D181)</f>
        <v>0</v>
      </c>
      <c r="AA181" s="433">
        <f>_xlfn.IFNA(INDEX('Data manipulation'!$C$23:$O$39,MATCH($V181,'Data manipulation'!$B$23:$B$39,0),MATCH($X181,'Data manipulation'!$C$22:$O$22,0))/1000,0)*SUMIFS('Regional split'!$F$4:$F$6,'Regional split'!$B$4:$B$6,AA$3)*SUMIFS('Data manipulation'!$V$39:$V$42,'Data manipulation'!$X$39:$X$42,$E181,'Data manipulation'!$Y$39:$Y$42,$D181)</f>
        <v>0</v>
      </c>
      <c r="AB181" s="444">
        <f t="shared" si="153"/>
        <v>0</v>
      </c>
      <c r="AC181" s="251">
        <f t="shared" si="154"/>
        <v>0</v>
      </c>
      <c r="AD181" s="445">
        <f t="shared" si="155"/>
        <v>0</v>
      </c>
      <c r="AU181" s="260"/>
      <c r="AZ181" s="252"/>
    </row>
    <row r="182" spans="2:52" ht="15" customHeight="1">
      <c r="B182" s="233" t="str">
        <f t="shared" ref="B182:G182" si="272">B102</f>
        <v>CHTRDWPEE1</v>
      </c>
      <c r="C182" s="233" t="str">
        <f t="shared" si="272"/>
        <v>Residential Heating Technology Rural Detached - Wood pellets - Existing 1</v>
      </c>
      <c r="D182" s="233" t="str">
        <f t="shared" si="272"/>
        <v>Rural</v>
      </c>
      <c r="E182" s="233" t="str">
        <f t="shared" si="272"/>
        <v>Detached</v>
      </c>
      <c r="F182" s="233" t="str">
        <f t="shared" si="272"/>
        <v>COMWPE</v>
      </c>
      <c r="G182" s="233" t="str">
        <f t="shared" si="272"/>
        <v>COMHRDB</v>
      </c>
      <c r="H182" s="570">
        <f t="shared" si="258"/>
        <v>2038</v>
      </c>
      <c r="I182" s="250">
        <v>0</v>
      </c>
      <c r="J182" s="250">
        <v>0</v>
      </c>
      <c r="K182" s="250">
        <v>0</v>
      </c>
      <c r="L182" s="463">
        <v>0.67</v>
      </c>
      <c r="M182" s="463">
        <v>0.67</v>
      </c>
      <c r="N182" s="463">
        <v>0.67</v>
      </c>
      <c r="O182" s="244">
        <f>31.536/1000</f>
        <v>3.1536000000000002E-2</v>
      </c>
      <c r="P182" s="459">
        <v>0.15</v>
      </c>
      <c r="Q182" s="245">
        <v>20</v>
      </c>
      <c r="R182" s="227">
        <v>1.05</v>
      </c>
      <c r="T182" s="268">
        <f t="shared" si="269"/>
        <v>0</v>
      </c>
      <c r="U182" s="268"/>
      <c r="W182" s="254" t="s">
        <v>866</v>
      </c>
      <c r="X182" s="246">
        <v>2019</v>
      </c>
      <c r="Y182" s="433">
        <f>_xlfn.IFNA(INDEX('Data manipulation'!$C$23:$O$39,MATCH($V182,'Data manipulation'!$B$23:$B$39,0),MATCH($X182,'Data manipulation'!$C$22:$O$22,0))/1000,0)*SUMIFS('Regional split'!$F$4:$F$6,'Regional split'!$B$4:$B$6,Y$3)*SUMIFS('Data manipulation'!$V$39:$V$42,'Data manipulation'!$X$39:$X$42,$E182,'Data manipulation'!$Y$39:$Y$42,$D182)</f>
        <v>0</v>
      </c>
      <c r="Z182" s="433">
        <f>_xlfn.IFNA(INDEX('Data manipulation'!$C$23:$O$39,MATCH($V182,'Data manipulation'!$B$23:$B$39,0),MATCH($X182,'Data manipulation'!$C$22:$O$22,0))/1000,0)*SUMIFS('Regional split'!$F$4:$F$6,'Regional split'!$B$4:$B$6,Z$3)*SUMIFS('Data manipulation'!$V$39:$V$42,'Data manipulation'!$X$39:$X$42,$E182,'Data manipulation'!$Y$39:$Y$42,$D182)</f>
        <v>0</v>
      </c>
      <c r="AA182" s="433">
        <f>_xlfn.IFNA(INDEX('Data manipulation'!$C$23:$O$39,MATCH($V182,'Data manipulation'!$B$23:$B$39,0),MATCH($X182,'Data manipulation'!$C$22:$O$22,0))/1000,0)*SUMIFS('Regional split'!$F$4:$F$6,'Regional split'!$B$4:$B$6,AA$3)*SUMIFS('Data manipulation'!$V$39:$V$42,'Data manipulation'!$X$39:$X$42,$E182,'Data manipulation'!$Y$39:$Y$42,$D182)</f>
        <v>0</v>
      </c>
      <c r="AB182" s="444">
        <f t="shared" si="153"/>
        <v>0</v>
      </c>
      <c r="AC182" s="251">
        <f t="shared" si="154"/>
        <v>0</v>
      </c>
      <c r="AD182" s="445">
        <f t="shared" si="155"/>
        <v>0</v>
      </c>
      <c r="AU182" s="260"/>
      <c r="AZ182" s="252"/>
    </row>
    <row r="183" spans="2:52" ht="15" customHeight="1">
      <c r="B183" s="233" t="str">
        <f t="shared" ref="B183:G183" si="273">B103</f>
        <v>CHTRDFIWE1</v>
      </c>
      <c r="C183" s="233" t="str">
        <f t="shared" si="273"/>
        <v>Residential Heating Technology Rural Detached - Fire wood - Existing 1</v>
      </c>
      <c r="D183" s="233" t="str">
        <f t="shared" si="273"/>
        <v>Rural</v>
      </c>
      <c r="E183" s="233" t="str">
        <f t="shared" si="273"/>
        <v>Detached</v>
      </c>
      <c r="F183" s="233" t="str">
        <f t="shared" si="273"/>
        <v>COMFIW</v>
      </c>
      <c r="G183" s="233" t="str">
        <f t="shared" si="273"/>
        <v>COMHRDB</v>
      </c>
      <c r="H183" s="570">
        <f t="shared" si="258"/>
        <v>2038</v>
      </c>
      <c r="I183" s="250">
        <v>0</v>
      </c>
      <c r="J183" s="250">
        <v>0</v>
      </c>
      <c r="K183" s="250">
        <v>0</v>
      </c>
      <c r="L183" s="463">
        <v>0.67</v>
      </c>
      <c r="M183" s="463">
        <v>0.67</v>
      </c>
      <c r="N183" s="463">
        <v>0.67</v>
      </c>
      <c r="O183" s="244">
        <f>31.536/1000</f>
        <v>3.1536000000000002E-2</v>
      </c>
      <c r="P183" s="459">
        <v>0.15</v>
      </c>
      <c r="Q183" s="245">
        <v>20</v>
      </c>
      <c r="R183" s="227">
        <v>1.05</v>
      </c>
      <c r="T183" s="268">
        <f t="shared" si="269"/>
        <v>0</v>
      </c>
      <c r="U183" s="268"/>
      <c r="V183" s="592" t="str">
        <f>'Data manipulation'!$B$31</f>
        <v>Primary solid biofuels</v>
      </c>
      <c r="W183" s="254" t="s">
        <v>177</v>
      </c>
      <c r="X183" s="246">
        <v>2019</v>
      </c>
      <c r="Y183" s="433">
        <f>_xlfn.IFNA(INDEX('Data manipulation'!$C$23:$O$39,MATCH($V183,'Data manipulation'!$B$23:$B$39,0),MATCH($X183,'Data manipulation'!$C$22:$O$22,0))/1000,0)*SUMIFS('Regional split'!$F$4:$F$6,'Regional split'!$B$4:$B$6,Y$3)*SUMIFS('Data manipulation'!$V$39:$V$42,'Data manipulation'!$X$39:$X$42,$E183,'Data manipulation'!$Y$39:$Y$42,$D183)</f>
        <v>24.362533668168407</v>
      </c>
      <c r="Z183" s="433">
        <f>_xlfn.IFNA(INDEX('Data manipulation'!$C$23:$O$39,MATCH($V183,'Data manipulation'!$B$23:$B$39,0),MATCH($X183,'Data manipulation'!$C$22:$O$22,0))/1000,0)*SUMIFS('Regional split'!$F$4:$F$6,'Regional split'!$B$4:$B$6,Z$3)*SUMIFS('Data manipulation'!$V$39:$V$42,'Data manipulation'!$X$39:$X$42,$E183,'Data manipulation'!$Y$39:$Y$42,$D183)</f>
        <v>0</v>
      </c>
      <c r="AA183" s="433">
        <f>_xlfn.IFNA(INDEX('Data manipulation'!$C$23:$O$39,MATCH($V183,'Data manipulation'!$B$23:$B$39,0),MATCH($X183,'Data manipulation'!$C$22:$O$22,0))/1000,0)*SUMIFS('Regional split'!$F$4:$F$6,'Regional split'!$B$4:$B$6,AA$3)*SUMIFS('Data manipulation'!$V$39:$V$42,'Data manipulation'!$X$39:$X$42,$E183,'Data manipulation'!$Y$39:$Y$42,$D183)</f>
        <v>0</v>
      </c>
      <c r="AB183" s="444">
        <f t="shared" si="153"/>
        <v>16.322897557672835</v>
      </c>
      <c r="AC183" s="251">
        <f t="shared" si="154"/>
        <v>0</v>
      </c>
      <c r="AD183" s="445">
        <f t="shared" si="155"/>
        <v>0</v>
      </c>
      <c r="AU183" s="260"/>
      <c r="AZ183" s="252"/>
    </row>
    <row r="184" spans="2:52" ht="15" customHeight="1">
      <c r="B184" s="233" t="str">
        <f t="shared" ref="B184:G184" si="274">B104</f>
        <v>CHTRDCOAE1</v>
      </c>
      <c r="C184" s="233" t="str">
        <f t="shared" si="274"/>
        <v>Residential Heating Technology Rural Detached - Coal - Existing 1</v>
      </c>
      <c r="D184" s="233" t="str">
        <f t="shared" si="274"/>
        <v>Rural</v>
      </c>
      <c r="E184" s="233" t="str">
        <f t="shared" si="274"/>
        <v>Detached</v>
      </c>
      <c r="F184" s="233" t="str">
        <f t="shared" si="274"/>
        <v>COMCOA</v>
      </c>
      <c r="G184" s="233" t="str">
        <f t="shared" si="274"/>
        <v>COMHRDB</v>
      </c>
      <c r="H184" s="570">
        <f t="shared" si="258"/>
        <v>2038</v>
      </c>
      <c r="I184" s="250">
        <v>0</v>
      </c>
      <c r="J184" s="250">
        <v>0</v>
      </c>
      <c r="K184" s="250">
        <v>0</v>
      </c>
      <c r="L184" s="463">
        <v>0.72</v>
      </c>
      <c r="M184" s="463">
        <v>0.72</v>
      </c>
      <c r="N184" s="463">
        <v>0.72</v>
      </c>
      <c r="O184" s="244">
        <f t="shared" si="261"/>
        <v>3.1536000000000002E-2</v>
      </c>
      <c r="P184" s="459">
        <v>0.15</v>
      </c>
      <c r="Q184" s="245">
        <v>20</v>
      </c>
      <c r="R184" s="227">
        <v>1.05</v>
      </c>
      <c r="T184" s="268">
        <f t="shared" si="269"/>
        <v>0</v>
      </c>
      <c r="U184" s="268"/>
      <c r="V184" s="592" t="str">
        <f>'Data manipulation'!$B$23</f>
        <v>Solid fossil fuels, peat, peat products, oil shale and oil sands</v>
      </c>
      <c r="W184" s="254" t="s">
        <v>863</v>
      </c>
      <c r="X184" s="246">
        <v>2019</v>
      </c>
      <c r="Y184" s="433">
        <f>_xlfn.IFNA(INDEX('Data manipulation'!$C$23:$O$39,MATCH($V184,'Data manipulation'!$B$23:$B$39,0),MATCH($X184,'Data manipulation'!$C$22:$O$22,0))/1000,0)*SUMIFS('Regional split'!$F$4:$F$6,'Regional split'!$B$4:$B$6,Y$3)*SUMIFS('Data manipulation'!$V$39:$V$42,'Data manipulation'!$X$39:$X$42,$E184,'Data manipulation'!$Y$39:$Y$42,$D184)</f>
        <v>3.3566767999999997E-2</v>
      </c>
      <c r="Z184" s="433">
        <f>_xlfn.IFNA(INDEX('Data manipulation'!$C$23:$O$39,MATCH($V184,'Data manipulation'!$B$23:$B$39,0),MATCH($X184,'Data manipulation'!$C$22:$O$22,0))/1000,0)*SUMIFS('Regional split'!$F$4:$F$6,'Regional split'!$B$4:$B$6,Z$3)*SUMIFS('Data manipulation'!$V$39:$V$42,'Data manipulation'!$X$39:$X$42,$E184,'Data manipulation'!$Y$39:$Y$42,$D184)</f>
        <v>0</v>
      </c>
      <c r="AA184" s="433">
        <f>_xlfn.IFNA(INDEX('Data manipulation'!$C$23:$O$39,MATCH($V184,'Data manipulation'!$B$23:$B$39,0),MATCH($X184,'Data manipulation'!$C$22:$O$22,0))/1000,0)*SUMIFS('Regional split'!$F$4:$F$6,'Regional split'!$B$4:$B$6,AA$3)*SUMIFS('Data manipulation'!$V$39:$V$42,'Data manipulation'!$X$39:$X$42,$E184,'Data manipulation'!$Y$39:$Y$42,$D184)</f>
        <v>0</v>
      </c>
      <c r="AB184" s="444">
        <f t="shared" si="153"/>
        <v>2.4168072959999998E-2</v>
      </c>
      <c r="AC184" s="251">
        <f t="shared" si="154"/>
        <v>0</v>
      </c>
      <c r="AD184" s="445">
        <f t="shared" si="155"/>
        <v>0</v>
      </c>
      <c r="AU184" s="260"/>
      <c r="AZ184" s="252"/>
    </row>
    <row r="185" spans="2:52" ht="15" customHeight="1">
      <c r="B185" s="233" t="str">
        <f t="shared" ref="B185:G185" si="275">B105</f>
        <v>CHTRDSOLE1</v>
      </c>
      <c r="C185" s="233" t="str">
        <f t="shared" si="275"/>
        <v>Residential Heating Technology Rural Detached - Solar - Existing 1</v>
      </c>
      <c r="D185" s="233" t="str">
        <f t="shared" si="275"/>
        <v>Rural</v>
      </c>
      <c r="E185" s="233" t="str">
        <f t="shared" si="275"/>
        <v>Detached</v>
      </c>
      <c r="F185" s="233" t="str">
        <f t="shared" si="275"/>
        <v>COMSOL</v>
      </c>
      <c r="G185" s="233" t="str">
        <f t="shared" si="275"/>
        <v>COMHRDB</v>
      </c>
      <c r="H185" s="570">
        <f t="shared" si="258"/>
        <v>2038</v>
      </c>
      <c r="I185" s="250">
        <v>0</v>
      </c>
      <c r="J185" s="250">
        <v>0</v>
      </c>
      <c r="K185" s="250">
        <v>0</v>
      </c>
      <c r="L185" s="463">
        <v>1</v>
      </c>
      <c r="M185" s="463">
        <v>1</v>
      </c>
      <c r="N185" s="463">
        <v>1</v>
      </c>
      <c r="O185" s="244">
        <f t="shared" si="261"/>
        <v>3.1536000000000002E-2</v>
      </c>
      <c r="P185" s="459">
        <v>0.15</v>
      </c>
      <c r="Q185" s="245">
        <v>20</v>
      </c>
      <c r="R185" s="227">
        <v>1.05</v>
      </c>
      <c r="T185" s="268">
        <f t="shared" si="269"/>
        <v>0</v>
      </c>
      <c r="U185" s="268"/>
      <c r="V185" s="592" t="str">
        <f>'Data manipulation'!$B$29</f>
        <v>Solar thermal</v>
      </c>
      <c r="W185" s="254" t="s">
        <v>169</v>
      </c>
      <c r="X185" s="246">
        <v>2019</v>
      </c>
      <c r="Y185" s="433">
        <f>_xlfn.IFNA(INDEX('Data manipulation'!$C$23:$O$39,MATCH($V185,'Data manipulation'!$B$23:$B$39,0),MATCH($X185,'Data manipulation'!$C$22:$O$22,0))/1000,0)*SUMIFS('Regional split'!$F$4:$F$6,'Regional split'!$B$4:$B$6,Y$3)*SUMIFS('Data manipulation'!$V$39:$V$42,'Data manipulation'!$X$39:$X$42,$E185,'Data manipulation'!$Y$39:$Y$42,$D185)</f>
        <v>7.2194623999999999E-2</v>
      </c>
      <c r="Z185" s="433">
        <f>_xlfn.IFNA(INDEX('Data manipulation'!$C$23:$O$39,MATCH($V185,'Data manipulation'!$B$23:$B$39,0),MATCH($X185,'Data manipulation'!$C$22:$O$22,0))/1000,0)*SUMIFS('Regional split'!$F$4:$F$6,'Regional split'!$B$4:$B$6,Z$3)*SUMIFS('Data manipulation'!$V$39:$V$42,'Data manipulation'!$X$39:$X$42,$E185,'Data manipulation'!$Y$39:$Y$42,$D185)</f>
        <v>0</v>
      </c>
      <c r="AA185" s="433">
        <f>_xlfn.IFNA(INDEX('Data manipulation'!$C$23:$O$39,MATCH($V185,'Data manipulation'!$B$23:$B$39,0),MATCH($X185,'Data manipulation'!$C$22:$O$22,0))/1000,0)*SUMIFS('Regional split'!$F$4:$F$6,'Regional split'!$B$4:$B$6,AA$3)*SUMIFS('Data manipulation'!$V$39:$V$42,'Data manipulation'!$X$39:$X$42,$E185,'Data manipulation'!$Y$39:$Y$42,$D185)</f>
        <v>0</v>
      </c>
      <c r="AB185" s="444">
        <f t="shared" si="153"/>
        <v>7.2194623999999999E-2</v>
      </c>
      <c r="AC185" s="251">
        <f t="shared" si="154"/>
        <v>0</v>
      </c>
      <c r="AD185" s="445">
        <f t="shared" si="155"/>
        <v>0</v>
      </c>
      <c r="AU185" s="260"/>
      <c r="AZ185" s="252"/>
    </row>
    <row r="186" spans="2:52" ht="15" customHeight="1">
      <c r="B186" s="233" t="str">
        <f t="shared" ref="B186:G186" si="276">B106</f>
        <v>CHTRDELCHE1</v>
      </c>
      <c r="C186" s="233" t="str">
        <f t="shared" si="276"/>
        <v>Residential Heating Technology Rural Detached - Electricity Heating - Existing 1</v>
      </c>
      <c r="D186" s="233" t="str">
        <f t="shared" si="276"/>
        <v>Rural</v>
      </c>
      <c r="E186" s="233" t="str">
        <f t="shared" si="276"/>
        <v>Detached</v>
      </c>
      <c r="F186" s="233" t="str">
        <f t="shared" si="276"/>
        <v>COMELCH</v>
      </c>
      <c r="G186" s="233" t="str">
        <f t="shared" si="276"/>
        <v>COMHRDB</v>
      </c>
      <c r="H186" s="570">
        <f t="shared" si="258"/>
        <v>2048</v>
      </c>
      <c r="I186" s="250">
        <v>0</v>
      </c>
      <c r="J186" s="250">
        <v>0</v>
      </c>
      <c r="K186" s="250">
        <v>0</v>
      </c>
      <c r="L186" s="463">
        <v>1</v>
      </c>
      <c r="M186" s="463">
        <v>1</v>
      </c>
      <c r="N186" s="463">
        <v>1</v>
      </c>
      <c r="O186" s="244">
        <f t="shared" si="261"/>
        <v>3.1536000000000002E-2</v>
      </c>
      <c r="P186" s="459">
        <v>0.15</v>
      </c>
      <c r="Q186" s="245">
        <v>30</v>
      </c>
      <c r="R186" s="227">
        <v>1.05</v>
      </c>
      <c r="T186" s="268">
        <f t="shared" si="269"/>
        <v>0</v>
      </c>
      <c r="U186" s="268"/>
      <c r="V186" s="592" t="str">
        <f>'Data manipulation'!$B$33</f>
        <v>Electricity</v>
      </c>
      <c r="W186" s="254" t="s">
        <v>170</v>
      </c>
      <c r="X186" s="246">
        <v>2019</v>
      </c>
      <c r="Y186" s="433">
        <f>_xlfn.IFNA(INDEX('Data manipulation'!$C$23:$O$39,MATCH($V186,'Data manipulation'!$B$23:$B$39,0),MATCH($X186,'Data manipulation'!$C$22:$O$22,0))/1000,0)*SUMIFS('Regional split'!$F$4:$F$6,'Regional split'!$B$4:$B$6,Y$3)*SUMIFS('Data manipulation'!$V$39:$V$42,'Data manipulation'!$X$39:$X$42,$E186,'Data manipulation'!$Y$39:$Y$42,$D186)</f>
        <v>12.029686684446904</v>
      </c>
      <c r="Z186" s="433">
        <f>_xlfn.IFNA(INDEX('Data manipulation'!$C$23:$O$39,MATCH($V186,'Data manipulation'!$B$23:$B$39,0),MATCH($X186,'Data manipulation'!$C$22:$O$22,0))/1000,0)*SUMIFS('Regional split'!$F$4:$F$6,'Regional split'!$B$4:$B$6,Z$3)*SUMIFS('Data manipulation'!$V$39:$V$42,'Data manipulation'!$X$39:$X$42,$E186,'Data manipulation'!$Y$39:$Y$42,$D186)</f>
        <v>0</v>
      </c>
      <c r="AA186" s="433">
        <f>_xlfn.IFNA(INDEX('Data manipulation'!$C$23:$O$39,MATCH($V186,'Data manipulation'!$B$23:$B$39,0),MATCH($X186,'Data manipulation'!$C$22:$O$22,0))/1000,0)*SUMIFS('Regional split'!$F$4:$F$6,'Regional split'!$B$4:$B$6,AA$3)*SUMIFS('Data manipulation'!$V$39:$V$42,'Data manipulation'!$X$39:$X$42,$E186,'Data manipulation'!$Y$39:$Y$42,$D186)</f>
        <v>0</v>
      </c>
      <c r="AB186" s="444">
        <f t="shared" si="153"/>
        <v>12.029686684446904</v>
      </c>
      <c r="AC186" s="251">
        <f t="shared" si="154"/>
        <v>0</v>
      </c>
      <c r="AD186" s="445">
        <f t="shared" si="155"/>
        <v>0</v>
      </c>
      <c r="AU186" s="260"/>
      <c r="AZ186" s="252"/>
    </row>
    <row r="187" spans="2:52" ht="15" customHeight="1">
      <c r="B187" s="233" t="str">
        <f t="shared" ref="B187:G187" si="277">B107</f>
        <v>CHTRDELCHE2</v>
      </c>
      <c r="C187" s="233" t="str">
        <f t="shared" si="277"/>
        <v>Residential Heating Technology Rural Detached - Electricity Heating - Existing 2</v>
      </c>
      <c r="D187" s="233" t="str">
        <f t="shared" si="277"/>
        <v>Rural</v>
      </c>
      <c r="E187" s="233" t="str">
        <f t="shared" si="277"/>
        <v>Detached</v>
      </c>
      <c r="F187" s="233" t="str">
        <f t="shared" si="277"/>
        <v>COMELCH</v>
      </c>
      <c r="G187" s="233" t="str">
        <f t="shared" si="277"/>
        <v>COMHRDB</v>
      </c>
      <c r="H187" s="570">
        <f t="shared" si="258"/>
        <v>2048</v>
      </c>
      <c r="I187" s="250">
        <v>0</v>
      </c>
      <c r="J187" s="250">
        <v>0</v>
      </c>
      <c r="K187" s="250">
        <v>0</v>
      </c>
      <c r="L187" s="463">
        <v>2.3149999999999999</v>
      </c>
      <c r="M187" s="463">
        <v>2.3149999999999999</v>
      </c>
      <c r="N187" s="463">
        <v>2.3149999999999999</v>
      </c>
      <c r="O187" s="244">
        <f t="shared" si="261"/>
        <v>3.1536000000000002E-2</v>
      </c>
      <c r="P187" s="459">
        <v>0.15</v>
      </c>
      <c r="Q187" s="245">
        <v>30</v>
      </c>
      <c r="R187" s="227">
        <v>1.05</v>
      </c>
      <c r="T187" s="268">
        <f t="shared" si="269"/>
        <v>0</v>
      </c>
      <c r="U187" s="268"/>
      <c r="V187" s="592" t="str">
        <f>'Data manipulation'!$B$30</f>
        <v>Ambient heat (heat pumps)</v>
      </c>
      <c r="W187" s="254" t="s">
        <v>171</v>
      </c>
      <c r="X187" s="246">
        <v>2019</v>
      </c>
      <c r="Y187" s="433">
        <f>_xlfn.IFNA(INDEX('Data manipulation'!$C$23:$O$39,MATCH($V187,'Data manipulation'!$B$23:$B$39,0),MATCH($X187,'Data manipulation'!$C$22:$O$22,0))/1000,0)*SUMIFS('Regional split'!$F$4:$F$6,'Regional split'!$B$4:$B$6,Y$3)*SUMIFS('Data manipulation'!$V$39:$V$42,'Data manipulation'!$X$39:$X$42,$E187,'Data manipulation'!$Y$39:$Y$42,$D187)</f>
        <v>1.6600438400000002</v>
      </c>
      <c r="Z187" s="433">
        <f>_xlfn.IFNA(INDEX('Data manipulation'!$C$23:$O$39,MATCH($V187,'Data manipulation'!$B$23:$B$39,0),MATCH($X187,'Data manipulation'!$C$22:$O$22,0))/1000,0)*SUMIFS('Regional split'!$F$4:$F$6,'Regional split'!$B$4:$B$6,Z$3)*SUMIFS('Data manipulation'!$V$39:$V$42,'Data manipulation'!$X$39:$X$42,$E187,'Data manipulation'!$Y$39:$Y$42,$D187)</f>
        <v>0</v>
      </c>
      <c r="AA187" s="433">
        <f>_xlfn.IFNA(INDEX('Data manipulation'!$C$23:$O$39,MATCH($V187,'Data manipulation'!$B$23:$B$39,0),MATCH($X187,'Data manipulation'!$C$22:$O$22,0))/1000,0)*SUMIFS('Regional split'!$F$4:$F$6,'Regional split'!$B$4:$B$6,AA$3)*SUMIFS('Data manipulation'!$V$39:$V$42,'Data manipulation'!$X$39:$X$42,$E187,'Data manipulation'!$Y$39:$Y$42,$D187)</f>
        <v>0</v>
      </c>
      <c r="AB187" s="444">
        <f t="shared" si="153"/>
        <v>3.8430014896000002</v>
      </c>
      <c r="AC187" s="251">
        <f t="shared" si="154"/>
        <v>0</v>
      </c>
      <c r="AD187" s="445">
        <f t="shared" si="155"/>
        <v>0</v>
      </c>
      <c r="AU187" s="260"/>
      <c r="AZ187" s="252"/>
    </row>
    <row r="188" spans="2:52" ht="15" customHeight="1">
      <c r="B188" s="233" t="str">
        <f t="shared" ref="B188:G188" si="278">B108</f>
        <v>CHTRDHCEE1</v>
      </c>
      <c r="C188" s="233" t="str">
        <f t="shared" si="278"/>
        <v>Residential Heating Technology Rural Detached - District heating Central - Existing 1</v>
      </c>
      <c r="D188" s="233" t="str">
        <f t="shared" si="278"/>
        <v>Rural</v>
      </c>
      <c r="E188" s="233" t="str">
        <f t="shared" si="278"/>
        <v>Detached</v>
      </c>
      <c r="F188" s="233" t="str">
        <f t="shared" si="278"/>
        <v>COMHDE</v>
      </c>
      <c r="G188" s="233" t="str">
        <f t="shared" si="278"/>
        <v>COMHRDB</v>
      </c>
      <c r="H188" s="572">
        <f t="shared" si="258"/>
        <v>2048</v>
      </c>
      <c r="I188" s="568">
        <v>0</v>
      </c>
      <c r="J188" s="568">
        <v>0</v>
      </c>
      <c r="K188" s="568">
        <v>0</v>
      </c>
      <c r="L188" s="463">
        <v>0.98</v>
      </c>
      <c r="M188" s="463">
        <v>0.98</v>
      </c>
      <c r="N188" s="463">
        <v>0.98</v>
      </c>
      <c r="O188" s="244">
        <f t="shared" si="261"/>
        <v>3.1536000000000002E-2</v>
      </c>
      <c r="P188" s="459">
        <v>0.15</v>
      </c>
      <c r="Q188" s="245">
        <v>30</v>
      </c>
      <c r="R188" s="227">
        <v>1.05</v>
      </c>
      <c r="T188" s="268">
        <f t="shared" si="269"/>
        <v>0</v>
      </c>
      <c r="U188" s="268"/>
      <c r="V188" s="592" t="str">
        <f>'Data manipulation'!$B$34</f>
        <v>Heat</v>
      </c>
      <c r="W188" s="254" t="s">
        <v>172</v>
      </c>
      <c r="X188" s="246">
        <v>2019</v>
      </c>
      <c r="Y188" s="433">
        <f>_xlfn.IFNA(INDEX('Data manipulation'!$C$23:$O$39,MATCH($V188,'Data manipulation'!$B$23:$B$39,0),MATCH($X188,'Data manipulation'!$C$22:$O$22,0))/1000,0)*SUMIFS('Regional split'!$F$4:$F$6,'Regional split'!$B$4:$B$6,Y$3)*SUMIFS('Data manipulation'!$V$39:$V$42,'Data manipulation'!$X$39:$X$42,$E188,'Data manipulation'!$Y$39:$Y$42,$D188)</f>
        <v>23.08614142144954</v>
      </c>
      <c r="Z188" s="433">
        <f>_xlfn.IFNA(INDEX('Data manipulation'!$C$23:$O$39,MATCH($V188,'Data manipulation'!$B$23:$B$39,0),MATCH($X188,'Data manipulation'!$C$22:$O$22,0))/1000,0)*SUMIFS('Regional split'!$F$4:$F$6,'Regional split'!$B$4:$B$6,Z$3)*SUMIFS('Data manipulation'!$V$39:$V$42,'Data manipulation'!$X$39:$X$42,$E188,'Data manipulation'!$Y$39:$Y$42,$D188)</f>
        <v>0</v>
      </c>
      <c r="AA188" s="433">
        <f>_xlfn.IFNA(INDEX('Data manipulation'!$C$23:$O$39,MATCH($V188,'Data manipulation'!$B$23:$B$39,0),MATCH($X188,'Data manipulation'!$C$22:$O$22,0))/1000,0)*SUMIFS('Regional split'!$F$4:$F$6,'Regional split'!$B$4:$B$6,AA$3)*SUMIFS('Data manipulation'!$V$39:$V$42,'Data manipulation'!$X$39:$X$42,$E188,'Data manipulation'!$Y$39:$Y$42,$D188)</f>
        <v>0</v>
      </c>
      <c r="AB188" s="444">
        <f t="shared" si="153"/>
        <v>22.624418593020547</v>
      </c>
      <c r="AC188" s="251">
        <f t="shared" si="154"/>
        <v>0</v>
      </c>
      <c r="AD188" s="445">
        <f t="shared" si="155"/>
        <v>0</v>
      </c>
      <c r="AU188" s="260"/>
      <c r="AZ188" s="252"/>
    </row>
    <row r="189" spans="2:52" ht="15" customHeight="1" thickBot="1">
      <c r="B189" s="233" t="str">
        <f t="shared" ref="B189:G189" si="279">B109</f>
        <v>CHTRDLPGE1</v>
      </c>
      <c r="C189" s="233" t="str">
        <f t="shared" si="279"/>
        <v>Residential Heating Technology Rural Detached - LPG - Existing 1</v>
      </c>
      <c r="D189" s="233" t="str">
        <f t="shared" si="279"/>
        <v>Rural</v>
      </c>
      <c r="E189" s="233" t="str">
        <f t="shared" si="279"/>
        <v>Detached</v>
      </c>
      <c r="F189" s="233" t="str">
        <f t="shared" si="279"/>
        <v>COMLPG</v>
      </c>
      <c r="G189" s="233" t="str">
        <f t="shared" si="279"/>
        <v>COMHRDB</v>
      </c>
      <c r="H189" s="572">
        <f t="shared" si="258"/>
        <v>2048</v>
      </c>
      <c r="I189" s="250">
        <v>0</v>
      </c>
      <c r="J189" s="250">
        <v>0</v>
      </c>
      <c r="K189" s="250">
        <v>0</v>
      </c>
      <c r="L189" s="463">
        <v>0.98</v>
      </c>
      <c r="M189" s="463">
        <v>0.98</v>
      </c>
      <c r="N189" s="463">
        <v>0.98</v>
      </c>
      <c r="O189" s="244">
        <f t="shared" si="261"/>
        <v>3.1536000000000002E-2</v>
      </c>
      <c r="P189" s="459">
        <v>0.15</v>
      </c>
      <c r="Q189" s="245">
        <v>30</v>
      </c>
      <c r="R189" s="227">
        <v>1.05</v>
      </c>
      <c r="T189" s="268">
        <f t="shared" si="269"/>
        <v>0</v>
      </c>
      <c r="U189" s="268"/>
      <c r="V189" s="593" t="str">
        <f>'Data manipulation'!$B$25</f>
        <v>Liquefied natural gas</v>
      </c>
      <c r="W189" s="428" t="s">
        <v>771</v>
      </c>
      <c r="X189" s="246">
        <v>2019</v>
      </c>
      <c r="Y189" s="433">
        <f>_xlfn.IFNA(INDEX('Data manipulation'!$C$23:$O$39,MATCH($V189,'Data manipulation'!$B$23:$B$39,0),MATCH($X189,'Data manipulation'!$C$22:$O$22,0))/1000,0)*SUMIFS('Regional split'!$F$4:$F$6,'Regional split'!$B$4:$B$6,Y$3)*SUMIFS('Data manipulation'!$V$39:$V$42,'Data manipulation'!$X$39:$X$42,$E189,'Data manipulation'!$Y$39:$Y$42,$D189)</f>
        <v>2.8891881054588238</v>
      </c>
      <c r="Z189" s="433">
        <f>_xlfn.IFNA(INDEX('Data manipulation'!$C$23:$O$39,MATCH($V189,'Data manipulation'!$B$23:$B$39,0),MATCH($X189,'Data manipulation'!$C$22:$O$22,0))/1000,0)*SUMIFS('Regional split'!$F$4:$F$6,'Regional split'!$B$4:$B$6,Z$3)*SUMIFS('Data manipulation'!$V$39:$V$42,'Data manipulation'!$X$39:$X$42,$E189,'Data manipulation'!$Y$39:$Y$42,$D189)</f>
        <v>0</v>
      </c>
      <c r="AA189" s="433">
        <f>_xlfn.IFNA(INDEX('Data manipulation'!$C$23:$O$39,MATCH($V189,'Data manipulation'!$B$23:$B$39,0),MATCH($X189,'Data manipulation'!$C$22:$O$22,0))/1000,0)*SUMIFS('Regional split'!$F$4:$F$6,'Regional split'!$B$4:$B$6,AA$3)*SUMIFS('Data manipulation'!$V$39:$V$42,'Data manipulation'!$X$39:$X$42,$E189,'Data manipulation'!$Y$39:$Y$42,$D189)</f>
        <v>0</v>
      </c>
      <c r="AB189" s="446">
        <f t="shared" si="153"/>
        <v>2.8314043433496474</v>
      </c>
      <c r="AC189" s="432">
        <f t="shared" si="154"/>
        <v>0</v>
      </c>
      <c r="AD189" s="453">
        <f t="shared" si="155"/>
        <v>0</v>
      </c>
      <c r="AU189" s="260"/>
      <c r="AZ189" s="252"/>
    </row>
    <row r="190" spans="2:52" ht="15" customHeight="1">
      <c r="B190" s="227" t="str">
        <f t="shared" ref="B190:E190" si="280">B110</f>
        <v>CHTUMNGAE1</v>
      </c>
      <c r="C190" s="227" t="str">
        <f t="shared" si="280"/>
        <v>Residential Heating Technology Urban Multi - Natural Gas - Existing 1</v>
      </c>
      <c r="D190" s="227" t="str">
        <f t="shared" si="280"/>
        <v>Urban</v>
      </c>
      <c r="E190" s="227" t="str">
        <f t="shared" si="280"/>
        <v>Multi storey</v>
      </c>
      <c r="F190" s="227" t="str">
        <f>F110</f>
        <v>COMNGA,COMSNG</v>
      </c>
      <c r="G190" s="227" t="str">
        <f>G110</f>
        <v>COMHUMB</v>
      </c>
      <c r="H190" s="569">
        <f t="shared" si="258"/>
        <v>2040</v>
      </c>
      <c r="I190" s="250">
        <v>0</v>
      </c>
      <c r="J190" s="250">
        <v>0</v>
      </c>
      <c r="K190" s="250">
        <v>0</v>
      </c>
      <c r="L190" s="463">
        <v>0.72</v>
      </c>
      <c r="M190" s="463">
        <v>0.72</v>
      </c>
      <c r="N190" s="463">
        <v>0.72</v>
      </c>
      <c r="O190" s="244">
        <f>31.536/1000</f>
        <v>3.1536000000000002E-2</v>
      </c>
      <c r="P190" s="459">
        <v>0.15</v>
      </c>
      <c r="Q190" s="245">
        <v>22</v>
      </c>
      <c r="R190" s="227">
        <v>1.05</v>
      </c>
      <c r="T190" s="268">
        <f t="shared" si="269"/>
        <v>0</v>
      </c>
      <c r="U190" s="268"/>
      <c r="V190" s="592" t="str">
        <f>'Data manipulation'!$B$36</f>
        <v>Natural gas and biogas</v>
      </c>
      <c r="W190" s="246" t="s">
        <v>168</v>
      </c>
      <c r="X190" s="246">
        <v>2019</v>
      </c>
      <c r="Y190" s="433">
        <f>_xlfn.IFNA(INDEX('Data manipulation'!$C$23:$O$39,MATCH($V190,'Data manipulation'!$B$23:$B$39,0),MATCH($X190,'Data manipulation'!$C$22:$O$22,0))/1000,0)*SUMIFS('Regional split'!$F$4:$F$6,'Regional split'!$B$4:$B$6,Y$3)*SUMIFS('Data manipulation'!$V$39:$V$42,'Data manipulation'!$X$39:$X$42,$E190,'Data manipulation'!$Y$39:$Y$42,$D190)</f>
        <v>90.178564125140909</v>
      </c>
      <c r="Z190" s="433">
        <f>_xlfn.IFNA(INDEX('Data manipulation'!$C$23:$O$39,MATCH($V190,'Data manipulation'!$B$23:$B$39,0),MATCH($X190,'Data manipulation'!$C$22:$O$22,0))/1000,0)*SUMIFS('Regional split'!$F$4:$F$6,'Regional split'!$B$4:$B$6,Z$3)*SUMIFS('Data manipulation'!$V$39:$V$42,'Data manipulation'!$X$39:$X$42,$E190,'Data manipulation'!$Y$39:$Y$42,$D190)</f>
        <v>0</v>
      </c>
      <c r="AA190" s="433">
        <f>_xlfn.IFNA(INDEX('Data manipulation'!$C$23:$O$39,MATCH($V190,'Data manipulation'!$B$23:$B$39,0),MATCH($X190,'Data manipulation'!$C$22:$O$22,0))/1000,0)*SUMIFS('Regional split'!$F$4:$F$6,'Regional split'!$B$4:$B$6,AA$3)*SUMIFS('Data manipulation'!$V$39:$V$42,'Data manipulation'!$X$39:$X$42,$E190,'Data manipulation'!$Y$39:$Y$42,$D190)</f>
        <v>0</v>
      </c>
      <c r="AB190" s="444">
        <f t="shared" ref="AB190:AB209" si="281">Y190*L190</f>
        <v>64.928566170101448</v>
      </c>
      <c r="AC190" s="251">
        <f t="shared" ref="AC190:AC209" si="282">Z190*M190</f>
        <v>0</v>
      </c>
      <c r="AD190" s="445">
        <f t="shared" ref="AD190:AD209" si="283">AA190*N190</f>
        <v>0</v>
      </c>
      <c r="AE190" s="262"/>
      <c r="AU190" s="260"/>
      <c r="AZ190" s="252"/>
    </row>
    <row r="191" spans="2:52" ht="15" customHeight="1">
      <c r="B191" s="227" t="str">
        <f t="shared" ref="B191:G191" si="284">B111</f>
        <v>CHTUMDSLE1</v>
      </c>
      <c r="C191" s="227" t="str">
        <f t="shared" si="284"/>
        <v>Residential Heating Technology Urban Multi - Diesel - Existing 1</v>
      </c>
      <c r="D191" s="227" t="str">
        <f t="shared" si="284"/>
        <v>Urban</v>
      </c>
      <c r="E191" s="227" t="str">
        <f t="shared" si="284"/>
        <v>Multi storey</v>
      </c>
      <c r="F191" s="227" t="str">
        <f t="shared" si="284"/>
        <v>COMDSL,COMDSB</v>
      </c>
      <c r="G191" s="227" t="str">
        <f t="shared" si="284"/>
        <v>COMHUMB</v>
      </c>
      <c r="H191" s="569">
        <f t="shared" si="258"/>
        <v>2038</v>
      </c>
      <c r="I191" s="250">
        <v>0</v>
      </c>
      <c r="J191" s="250">
        <v>0</v>
      </c>
      <c r="K191" s="250">
        <v>0</v>
      </c>
      <c r="L191" s="463">
        <v>0.71</v>
      </c>
      <c r="M191" s="463">
        <v>0.71</v>
      </c>
      <c r="N191" s="463">
        <v>0.71</v>
      </c>
      <c r="O191" s="244">
        <f>31.536/1000</f>
        <v>3.1536000000000002E-2</v>
      </c>
      <c r="P191" s="459">
        <v>0.15</v>
      </c>
      <c r="Q191" s="245">
        <v>20</v>
      </c>
      <c r="R191" s="227">
        <v>1.05</v>
      </c>
      <c r="T191" s="268">
        <f t="shared" si="269"/>
        <v>0</v>
      </c>
      <c r="V191" s="592" t="str">
        <f>'Data manipulation'!$B$35</f>
        <v>Oil products</v>
      </c>
      <c r="W191" s="254" t="s">
        <v>729</v>
      </c>
      <c r="X191" s="246">
        <v>2019</v>
      </c>
      <c r="Y191" s="433">
        <f>_xlfn.IFNA(INDEX('Data manipulation'!$C$23:$O$39,MATCH($V191,'Data manipulation'!$B$23:$B$39,0),MATCH($X191,'Data manipulation'!$C$22:$O$22,0))/1000,0)*SUMIFS('Regional split'!$F$4:$F$6,'Regional split'!$B$4:$B$6,Y$3)*SUMIFS('Data manipulation'!$V$39:$V$42,'Data manipulation'!$X$39:$X$42,$E191,'Data manipulation'!$Y$39:$Y$42,$D191)</f>
        <v>0</v>
      </c>
      <c r="Z191" s="433">
        <f>_xlfn.IFNA(INDEX('Data manipulation'!$C$23:$O$39,MATCH($V191,'Data manipulation'!$B$23:$B$39,0),MATCH($X191,'Data manipulation'!$C$22:$O$22,0))/1000,0)*SUMIFS('Regional split'!$F$4:$F$6,'Regional split'!$B$4:$B$6,Z$3)*SUMIFS('Data manipulation'!$V$39:$V$42,'Data manipulation'!$X$39:$X$42,$E191,'Data manipulation'!$Y$39:$Y$42,$D191)</f>
        <v>0</v>
      </c>
      <c r="AA191" s="433">
        <f>_xlfn.IFNA(INDEX('Data manipulation'!$C$23:$O$39,MATCH($V191,'Data manipulation'!$B$23:$B$39,0),MATCH($X191,'Data manipulation'!$C$22:$O$22,0))/1000,0)*SUMIFS('Regional split'!$F$4:$F$6,'Regional split'!$B$4:$B$6,AA$3)*SUMIFS('Data manipulation'!$V$39:$V$42,'Data manipulation'!$X$39:$X$42,$E191,'Data manipulation'!$Y$39:$Y$42,$D191)</f>
        <v>0</v>
      </c>
      <c r="AB191" s="444">
        <f t="shared" si="281"/>
        <v>0</v>
      </c>
      <c r="AC191" s="251">
        <f t="shared" si="282"/>
        <v>0</v>
      </c>
      <c r="AD191" s="445">
        <f t="shared" si="283"/>
        <v>0</v>
      </c>
      <c r="AE191" s="262"/>
      <c r="AU191" s="260"/>
      <c r="AZ191" s="252"/>
    </row>
    <row r="192" spans="2:52" ht="15" customHeight="1">
      <c r="B192" s="227" t="str">
        <f t="shared" ref="B192:G192" si="285">B112</f>
        <v>CHTUMWPEE1</v>
      </c>
      <c r="C192" s="227" t="str">
        <f t="shared" si="285"/>
        <v>Residential Heating Technology Urban Multi - Wood pellets - Existing 1</v>
      </c>
      <c r="D192" s="227" t="str">
        <f t="shared" si="285"/>
        <v>Urban</v>
      </c>
      <c r="E192" s="227" t="str">
        <f t="shared" si="285"/>
        <v>Multi storey</v>
      </c>
      <c r="F192" s="227" t="str">
        <f t="shared" si="285"/>
        <v>COMWPE</v>
      </c>
      <c r="G192" s="227" t="str">
        <f t="shared" si="285"/>
        <v>COMHUMB</v>
      </c>
      <c r="H192" s="569">
        <f t="shared" si="258"/>
        <v>2038</v>
      </c>
      <c r="I192" s="250">
        <v>0</v>
      </c>
      <c r="J192" s="250">
        <v>0</v>
      </c>
      <c r="K192" s="250">
        <v>0</v>
      </c>
      <c r="L192" s="463">
        <v>0.61</v>
      </c>
      <c r="M192" s="463">
        <v>0.61</v>
      </c>
      <c r="N192" s="463">
        <v>0.61</v>
      </c>
      <c r="O192" s="244">
        <f t="shared" ref="O192:O209" si="286">31.536/1000</f>
        <v>3.1536000000000002E-2</v>
      </c>
      <c r="P192" s="459">
        <v>0.15</v>
      </c>
      <c r="Q192" s="245">
        <v>20</v>
      </c>
      <c r="R192" s="227">
        <v>1.05</v>
      </c>
      <c r="T192" s="268">
        <f t="shared" si="269"/>
        <v>0</v>
      </c>
      <c r="U192" s="268"/>
      <c r="W192" s="254" t="s">
        <v>866</v>
      </c>
      <c r="X192" s="246">
        <v>2019</v>
      </c>
      <c r="Y192" s="433">
        <f>_xlfn.IFNA(INDEX('Data manipulation'!$C$23:$O$39,MATCH($V192,'Data manipulation'!$B$23:$B$39,0),MATCH($X192,'Data manipulation'!$C$22:$O$22,0))/1000,0)*SUMIFS('Regional split'!$F$4:$F$6,'Regional split'!$B$4:$B$6,Y$3)*SUMIFS('Data manipulation'!$V$39:$V$42,'Data manipulation'!$X$39:$X$42,$E192,'Data manipulation'!$Y$39:$Y$42,$D192)</f>
        <v>0</v>
      </c>
      <c r="Z192" s="433">
        <f>_xlfn.IFNA(INDEX('Data manipulation'!$C$23:$O$39,MATCH($V192,'Data manipulation'!$B$23:$B$39,0),MATCH($X192,'Data manipulation'!$C$22:$O$22,0))/1000,0)*SUMIFS('Regional split'!$F$4:$F$6,'Regional split'!$B$4:$B$6,Z$3)*SUMIFS('Data manipulation'!$V$39:$V$42,'Data manipulation'!$X$39:$X$42,$E192,'Data manipulation'!$Y$39:$Y$42,$D192)</f>
        <v>0</v>
      </c>
      <c r="AA192" s="433">
        <f>_xlfn.IFNA(INDEX('Data manipulation'!$C$23:$O$39,MATCH($V192,'Data manipulation'!$B$23:$B$39,0),MATCH($X192,'Data manipulation'!$C$22:$O$22,0))/1000,0)*SUMIFS('Regional split'!$F$4:$F$6,'Regional split'!$B$4:$B$6,AA$3)*SUMIFS('Data manipulation'!$V$39:$V$42,'Data manipulation'!$X$39:$X$42,$E192,'Data manipulation'!$Y$39:$Y$42,$D192)</f>
        <v>0</v>
      </c>
      <c r="AB192" s="444">
        <f t="shared" si="281"/>
        <v>0</v>
      </c>
      <c r="AC192" s="251">
        <f t="shared" si="282"/>
        <v>0</v>
      </c>
      <c r="AD192" s="445">
        <f t="shared" si="283"/>
        <v>0</v>
      </c>
      <c r="AE192" s="262"/>
      <c r="AU192" s="260"/>
      <c r="AZ192" s="252"/>
    </row>
    <row r="193" spans="2:52" ht="15" customHeight="1">
      <c r="B193" s="227" t="str">
        <f t="shared" ref="B193:G193" si="287">B113</f>
        <v>CHTUMFIWE1</v>
      </c>
      <c r="C193" s="227" t="str">
        <f t="shared" si="287"/>
        <v>Residential Heating Technology Urban Multi - Fire wood - Existing 1</v>
      </c>
      <c r="D193" s="227" t="str">
        <f t="shared" si="287"/>
        <v>Urban</v>
      </c>
      <c r="E193" s="227" t="str">
        <f t="shared" si="287"/>
        <v>Multi storey</v>
      </c>
      <c r="F193" s="227" t="str">
        <f t="shared" si="287"/>
        <v>COMFIW</v>
      </c>
      <c r="G193" s="227" t="str">
        <f t="shared" si="287"/>
        <v>COMHUMB</v>
      </c>
      <c r="H193" s="569">
        <f t="shared" si="258"/>
        <v>2038</v>
      </c>
      <c r="I193" s="250">
        <v>0</v>
      </c>
      <c r="J193" s="250">
        <v>0</v>
      </c>
      <c r="K193" s="250">
        <v>0</v>
      </c>
      <c r="L193" s="463">
        <v>0.65000022993955098</v>
      </c>
      <c r="M193" s="463">
        <v>0.65000022993955098</v>
      </c>
      <c r="N193" s="463">
        <v>0.65000022993955098</v>
      </c>
      <c r="O193" s="244">
        <f t="shared" si="286"/>
        <v>3.1536000000000002E-2</v>
      </c>
      <c r="P193" s="459">
        <v>0.15</v>
      </c>
      <c r="Q193" s="245">
        <v>20</v>
      </c>
      <c r="R193" s="227">
        <v>1.05</v>
      </c>
      <c r="T193" s="268">
        <f t="shared" si="269"/>
        <v>0</v>
      </c>
      <c r="U193" s="268"/>
      <c r="V193" s="592" t="str">
        <f>'Data manipulation'!$B$31</f>
        <v>Primary solid biofuels</v>
      </c>
      <c r="W193" s="254" t="s">
        <v>177</v>
      </c>
      <c r="X193" s="246">
        <v>2019</v>
      </c>
      <c r="Y193" s="433">
        <f>_xlfn.IFNA(INDEX('Data manipulation'!$C$23:$O$39,MATCH($V193,'Data manipulation'!$B$23:$B$39,0),MATCH($X193,'Data manipulation'!$C$22:$O$22,0))/1000,0)*SUMIFS('Regional split'!$F$4:$F$6,'Regional split'!$B$4:$B$6,Y$3)*SUMIFS('Data manipulation'!$V$39:$V$42,'Data manipulation'!$X$39:$X$42,$E193,'Data manipulation'!$Y$39:$Y$42,$D193)</f>
        <v>15.478031711198737</v>
      </c>
      <c r="Z193" s="433">
        <f>_xlfn.IFNA(INDEX('Data manipulation'!$C$23:$O$39,MATCH($V193,'Data manipulation'!$B$23:$B$39,0),MATCH($X193,'Data manipulation'!$C$22:$O$22,0))/1000,0)*SUMIFS('Regional split'!$F$4:$F$6,'Regional split'!$B$4:$B$6,Z$3)*SUMIFS('Data manipulation'!$V$39:$V$42,'Data manipulation'!$X$39:$X$42,$E193,'Data manipulation'!$Y$39:$Y$42,$D193)</f>
        <v>0</v>
      </c>
      <c r="AA193" s="433">
        <f>_xlfn.IFNA(INDEX('Data manipulation'!$C$23:$O$39,MATCH($V193,'Data manipulation'!$B$23:$B$39,0),MATCH($X193,'Data manipulation'!$C$22:$O$22,0))/1000,0)*SUMIFS('Regional split'!$F$4:$F$6,'Regional split'!$B$4:$B$6,AA$3)*SUMIFS('Data manipulation'!$V$39:$V$42,'Data manipulation'!$X$39:$X$42,$E193,'Data manipulation'!$Y$39:$Y$42,$D193)</f>
        <v>0</v>
      </c>
      <c r="AB193" s="444">
        <f t="shared" si="281"/>
        <v>10.060724171290842</v>
      </c>
      <c r="AC193" s="251">
        <f t="shared" si="282"/>
        <v>0</v>
      </c>
      <c r="AD193" s="445">
        <f t="shared" si="283"/>
        <v>0</v>
      </c>
      <c r="AE193" s="262"/>
      <c r="AU193" s="260"/>
      <c r="AZ193" s="252"/>
    </row>
    <row r="194" spans="2:52" ht="15" customHeight="1">
      <c r="B194" s="233" t="str">
        <f t="shared" ref="B194:G194" si="288">B114</f>
        <v>CHTUMCOAE1</v>
      </c>
      <c r="C194" s="233" t="str">
        <f t="shared" si="288"/>
        <v>Residential Heating Technology Urban Multi - Coal - Existing 1</v>
      </c>
      <c r="D194" s="233" t="str">
        <f t="shared" si="288"/>
        <v>Urban</v>
      </c>
      <c r="E194" s="233" t="str">
        <f t="shared" si="288"/>
        <v>Multi storey</v>
      </c>
      <c r="F194" s="233" t="str">
        <f t="shared" si="288"/>
        <v>COMCOA</v>
      </c>
      <c r="G194" s="233" t="str">
        <f t="shared" si="288"/>
        <v>COMHUMB</v>
      </c>
      <c r="H194" s="569">
        <f t="shared" si="258"/>
        <v>2038</v>
      </c>
      <c r="I194" s="250">
        <v>0</v>
      </c>
      <c r="J194" s="250">
        <v>0</v>
      </c>
      <c r="K194" s="250">
        <v>0</v>
      </c>
      <c r="L194" s="463">
        <v>0.7</v>
      </c>
      <c r="M194" s="463">
        <v>0.7</v>
      </c>
      <c r="N194" s="463">
        <v>0.7</v>
      </c>
      <c r="O194" s="244">
        <f t="shared" si="286"/>
        <v>3.1536000000000002E-2</v>
      </c>
      <c r="P194" s="459">
        <v>0.15</v>
      </c>
      <c r="Q194" s="245">
        <v>20</v>
      </c>
      <c r="R194" s="227">
        <v>1.05</v>
      </c>
      <c r="T194" s="268">
        <f t="shared" si="269"/>
        <v>0</v>
      </c>
      <c r="U194" s="268"/>
      <c r="V194" s="592" t="str">
        <f>'Data manipulation'!$B$23</f>
        <v>Solid fossil fuels, peat, peat products, oil shale and oil sands</v>
      </c>
      <c r="W194" s="254" t="s">
        <v>863</v>
      </c>
      <c r="X194" s="246">
        <v>2019</v>
      </c>
      <c r="Y194" s="433">
        <f>_xlfn.IFNA(INDEX('Data manipulation'!$C$23:$O$39,MATCH($V194,'Data manipulation'!$B$23:$B$39,0),MATCH($X194,'Data manipulation'!$C$22:$O$22,0))/1000,0)*SUMIFS('Regional split'!$F$4:$F$6,'Regional split'!$B$4:$B$6,Y$3)*SUMIFS('Data manipulation'!$V$39:$V$42,'Data manipulation'!$X$39:$X$42,$E194,'Data manipulation'!$Y$39:$Y$42,$D194)</f>
        <v>2.1325676000000002E-2</v>
      </c>
      <c r="Z194" s="433">
        <f>_xlfn.IFNA(INDEX('Data manipulation'!$C$23:$O$39,MATCH($V194,'Data manipulation'!$B$23:$B$39,0),MATCH($X194,'Data manipulation'!$C$22:$O$22,0))/1000,0)*SUMIFS('Regional split'!$F$4:$F$6,'Regional split'!$B$4:$B$6,Z$3)*SUMIFS('Data manipulation'!$V$39:$V$42,'Data manipulation'!$X$39:$X$42,$E194,'Data manipulation'!$Y$39:$Y$42,$D194)</f>
        <v>0</v>
      </c>
      <c r="AA194" s="433">
        <f>_xlfn.IFNA(INDEX('Data manipulation'!$C$23:$O$39,MATCH($V194,'Data manipulation'!$B$23:$B$39,0),MATCH($X194,'Data manipulation'!$C$22:$O$22,0))/1000,0)*SUMIFS('Regional split'!$F$4:$F$6,'Regional split'!$B$4:$B$6,AA$3)*SUMIFS('Data manipulation'!$V$39:$V$42,'Data manipulation'!$X$39:$X$42,$E194,'Data manipulation'!$Y$39:$Y$42,$D194)</f>
        <v>0</v>
      </c>
      <c r="AB194" s="444">
        <f t="shared" si="281"/>
        <v>1.49279732E-2</v>
      </c>
      <c r="AC194" s="251">
        <f t="shared" si="282"/>
        <v>0</v>
      </c>
      <c r="AD194" s="445">
        <f t="shared" si="283"/>
        <v>0</v>
      </c>
      <c r="AE194" s="262"/>
      <c r="AU194" s="260"/>
      <c r="AZ194" s="252"/>
    </row>
    <row r="195" spans="2:52" ht="15" customHeight="1">
      <c r="B195" s="233" t="str">
        <f t="shared" ref="B195:G195" si="289">B115</f>
        <v>CHTUMSOLE1</v>
      </c>
      <c r="C195" s="233" t="str">
        <f t="shared" si="289"/>
        <v>Residential Heating Technology Urban Multi - Solar - Existing 1</v>
      </c>
      <c r="D195" s="233" t="str">
        <f t="shared" si="289"/>
        <v>Urban</v>
      </c>
      <c r="E195" s="233" t="str">
        <f t="shared" si="289"/>
        <v>Multi storey</v>
      </c>
      <c r="F195" s="233" t="str">
        <f t="shared" si="289"/>
        <v>COMSOL</v>
      </c>
      <c r="G195" s="233" t="str">
        <f t="shared" si="289"/>
        <v>COMHUMB</v>
      </c>
      <c r="H195" s="569">
        <f t="shared" si="258"/>
        <v>2038</v>
      </c>
      <c r="I195" s="250">
        <v>0</v>
      </c>
      <c r="J195" s="250">
        <v>0</v>
      </c>
      <c r="K195" s="250">
        <v>0</v>
      </c>
      <c r="L195" s="463">
        <v>1</v>
      </c>
      <c r="M195" s="463">
        <v>1</v>
      </c>
      <c r="N195" s="463">
        <v>1</v>
      </c>
      <c r="O195" s="244">
        <f t="shared" si="286"/>
        <v>3.1536000000000002E-2</v>
      </c>
      <c r="P195" s="459">
        <v>0.15</v>
      </c>
      <c r="Q195" s="245">
        <v>20</v>
      </c>
      <c r="R195" s="227">
        <v>1.05</v>
      </c>
      <c r="T195" s="268">
        <f t="shared" si="269"/>
        <v>0</v>
      </c>
      <c r="U195" s="268"/>
      <c r="V195" s="592" t="str">
        <f>'Data manipulation'!$B$29</f>
        <v>Solar thermal</v>
      </c>
      <c r="W195" s="254" t="s">
        <v>169</v>
      </c>
      <c r="X195" s="246">
        <v>2019</v>
      </c>
      <c r="Y195" s="433">
        <f>_xlfn.IFNA(INDEX('Data manipulation'!$C$23:$O$39,MATCH($V195,'Data manipulation'!$B$23:$B$39,0),MATCH($X195,'Data manipulation'!$C$22:$O$22,0))/1000,0)*SUMIFS('Regional split'!$F$4:$F$6,'Regional split'!$B$4:$B$6,Y$3)*SUMIFS('Data manipulation'!$V$39:$V$42,'Data manipulation'!$X$39:$X$42,$E195,'Data manipulation'!$Y$39:$Y$42,$D195)</f>
        <v>4.5866768000000009E-2</v>
      </c>
      <c r="Z195" s="433">
        <f>_xlfn.IFNA(INDEX('Data manipulation'!$C$23:$O$39,MATCH($V195,'Data manipulation'!$B$23:$B$39,0),MATCH($X195,'Data manipulation'!$C$22:$O$22,0))/1000,0)*SUMIFS('Regional split'!$F$4:$F$6,'Regional split'!$B$4:$B$6,Z$3)*SUMIFS('Data manipulation'!$V$39:$V$42,'Data manipulation'!$X$39:$X$42,$E195,'Data manipulation'!$Y$39:$Y$42,$D195)</f>
        <v>0</v>
      </c>
      <c r="AA195" s="433">
        <f>_xlfn.IFNA(INDEX('Data manipulation'!$C$23:$O$39,MATCH($V195,'Data manipulation'!$B$23:$B$39,0),MATCH($X195,'Data manipulation'!$C$22:$O$22,0))/1000,0)*SUMIFS('Regional split'!$F$4:$F$6,'Regional split'!$B$4:$B$6,AA$3)*SUMIFS('Data manipulation'!$V$39:$V$42,'Data manipulation'!$X$39:$X$42,$E195,'Data manipulation'!$Y$39:$Y$42,$D195)</f>
        <v>0</v>
      </c>
      <c r="AB195" s="444">
        <f t="shared" si="281"/>
        <v>4.5866768000000009E-2</v>
      </c>
      <c r="AC195" s="251">
        <f t="shared" si="282"/>
        <v>0</v>
      </c>
      <c r="AD195" s="445">
        <f t="shared" si="283"/>
        <v>0</v>
      </c>
      <c r="AE195" s="262"/>
      <c r="AU195" s="260"/>
      <c r="AZ195" s="252"/>
    </row>
    <row r="196" spans="2:52" ht="15" customHeight="1">
      <c r="B196" s="233" t="str">
        <f t="shared" ref="B196:G196" si="290">B116</f>
        <v>CHTUMELCHE1</v>
      </c>
      <c r="C196" s="233" t="str">
        <f t="shared" si="290"/>
        <v>Residential Heating Technology Urban Multi - Electricity Heating - Existing 1</v>
      </c>
      <c r="D196" s="233" t="str">
        <f t="shared" si="290"/>
        <v>Urban</v>
      </c>
      <c r="E196" s="233" t="str">
        <f t="shared" si="290"/>
        <v>Multi storey</v>
      </c>
      <c r="F196" s="233" t="str">
        <f t="shared" si="290"/>
        <v>COMELCH</v>
      </c>
      <c r="G196" s="233" t="str">
        <f t="shared" si="290"/>
        <v>COMHUMB</v>
      </c>
      <c r="H196" s="569">
        <f t="shared" si="258"/>
        <v>2048</v>
      </c>
      <c r="I196" s="250">
        <v>0</v>
      </c>
      <c r="J196" s="250">
        <v>0</v>
      </c>
      <c r="K196" s="250">
        <v>0</v>
      </c>
      <c r="L196" s="463">
        <v>1</v>
      </c>
      <c r="M196" s="463">
        <v>1</v>
      </c>
      <c r="N196" s="463">
        <v>1</v>
      </c>
      <c r="O196" s="244">
        <f t="shared" si="286"/>
        <v>3.1536000000000002E-2</v>
      </c>
      <c r="P196" s="459">
        <v>0.15</v>
      </c>
      <c r="Q196" s="245">
        <v>30</v>
      </c>
      <c r="R196" s="227">
        <v>1.05</v>
      </c>
      <c r="T196" s="268">
        <f t="shared" si="269"/>
        <v>0</v>
      </c>
      <c r="U196" s="268"/>
      <c r="V196" s="592" t="str">
        <f>'Data manipulation'!$B$33</f>
        <v>Electricity</v>
      </c>
      <c r="W196" s="254" t="s">
        <v>170</v>
      </c>
      <c r="X196" s="246">
        <v>2019</v>
      </c>
      <c r="Y196" s="433">
        <f>_xlfn.IFNA(INDEX('Data manipulation'!$C$23:$O$39,MATCH($V196,'Data manipulation'!$B$23:$B$39,0),MATCH($X196,'Data manipulation'!$C$22:$O$22,0))/1000,0)*SUMIFS('Regional split'!$F$4:$F$6,'Regional split'!$B$4:$B$6,Y$3)*SUMIFS('Data manipulation'!$V$39:$V$42,'Data manipulation'!$X$39:$X$42,$E196,'Data manipulation'!$Y$39:$Y$42,$D196)</f>
        <v>7.6427137880545706</v>
      </c>
      <c r="Z196" s="433">
        <f>_xlfn.IFNA(INDEX('Data manipulation'!$C$23:$O$39,MATCH($V196,'Data manipulation'!$B$23:$B$39,0),MATCH($X196,'Data manipulation'!$C$22:$O$22,0))/1000,0)*SUMIFS('Regional split'!$F$4:$F$6,'Regional split'!$B$4:$B$6,Z$3)*SUMIFS('Data manipulation'!$V$39:$V$42,'Data manipulation'!$X$39:$X$42,$E196,'Data manipulation'!$Y$39:$Y$42,$D196)</f>
        <v>0</v>
      </c>
      <c r="AA196" s="433">
        <f>_xlfn.IFNA(INDEX('Data manipulation'!$C$23:$O$39,MATCH($V196,'Data manipulation'!$B$23:$B$39,0),MATCH($X196,'Data manipulation'!$C$22:$O$22,0))/1000,0)*SUMIFS('Regional split'!$F$4:$F$6,'Regional split'!$B$4:$B$6,AA$3)*SUMIFS('Data manipulation'!$V$39:$V$42,'Data manipulation'!$X$39:$X$42,$E196,'Data manipulation'!$Y$39:$Y$42,$D196)</f>
        <v>0</v>
      </c>
      <c r="AB196" s="444">
        <f t="shared" si="281"/>
        <v>7.6427137880545706</v>
      </c>
      <c r="AC196" s="251">
        <f t="shared" si="282"/>
        <v>0</v>
      </c>
      <c r="AD196" s="445">
        <f t="shared" si="283"/>
        <v>0</v>
      </c>
      <c r="AU196" s="260"/>
      <c r="AZ196" s="252"/>
    </row>
    <row r="197" spans="2:52" ht="15" customHeight="1">
      <c r="B197" s="233" t="str">
        <f t="shared" ref="B197:G197" si="291">B117</f>
        <v>CHTUMELCHE2</v>
      </c>
      <c r="C197" s="233" t="str">
        <f t="shared" si="291"/>
        <v>Residential Heating Technology Urban Multi - Electricity Heating - Existing 2</v>
      </c>
      <c r="D197" s="233" t="str">
        <f t="shared" si="291"/>
        <v>Urban</v>
      </c>
      <c r="E197" s="233" t="str">
        <f t="shared" si="291"/>
        <v>Multi storey</v>
      </c>
      <c r="F197" s="233" t="str">
        <f t="shared" si="291"/>
        <v>COMELCH</v>
      </c>
      <c r="G197" s="233" t="str">
        <f t="shared" si="291"/>
        <v>COMHUMB</v>
      </c>
      <c r="H197" s="569">
        <f t="shared" si="258"/>
        <v>2048</v>
      </c>
      <c r="I197" s="250">
        <v>0</v>
      </c>
      <c r="J197" s="250">
        <v>0</v>
      </c>
      <c r="K197" s="250">
        <v>0</v>
      </c>
      <c r="L197" s="463">
        <v>2.3149999999999999</v>
      </c>
      <c r="M197" s="463">
        <v>2.3149999999999999</v>
      </c>
      <c r="N197" s="463">
        <v>2.3149999999999999</v>
      </c>
      <c r="O197" s="244">
        <f t="shared" si="286"/>
        <v>3.1536000000000002E-2</v>
      </c>
      <c r="P197" s="459">
        <v>0.15</v>
      </c>
      <c r="Q197" s="245">
        <v>30</v>
      </c>
      <c r="R197" s="227">
        <v>1.05</v>
      </c>
      <c r="T197" s="268">
        <f t="shared" si="269"/>
        <v>0</v>
      </c>
      <c r="U197" s="268"/>
      <c r="V197" s="592" t="str">
        <f>'Data manipulation'!$B$30</f>
        <v>Ambient heat (heat pumps)</v>
      </c>
      <c r="W197" s="254" t="s">
        <v>171</v>
      </c>
      <c r="X197" s="246">
        <v>2019</v>
      </c>
      <c r="Y197" s="433">
        <f>_xlfn.IFNA(INDEX('Data manipulation'!$C$23:$O$39,MATCH($V197,'Data manipulation'!$B$23:$B$39,0),MATCH($X197,'Data manipulation'!$C$22:$O$22,0))/1000,0)*SUMIFS('Regional split'!$F$4:$F$6,'Regional split'!$B$4:$B$6,Y$3)*SUMIFS('Data manipulation'!$V$39:$V$42,'Data manipulation'!$X$39:$X$42,$E197,'Data manipulation'!$Y$39:$Y$42,$D197)</f>
        <v>1.0546608800000001</v>
      </c>
      <c r="Z197" s="433">
        <f>_xlfn.IFNA(INDEX('Data manipulation'!$C$23:$O$39,MATCH($V197,'Data manipulation'!$B$23:$B$39,0),MATCH($X197,'Data manipulation'!$C$22:$O$22,0))/1000,0)*SUMIFS('Regional split'!$F$4:$F$6,'Regional split'!$B$4:$B$6,Z$3)*SUMIFS('Data manipulation'!$V$39:$V$42,'Data manipulation'!$X$39:$X$42,$E197,'Data manipulation'!$Y$39:$Y$42,$D197)</f>
        <v>0</v>
      </c>
      <c r="AA197" s="433">
        <f>_xlfn.IFNA(INDEX('Data manipulation'!$C$23:$O$39,MATCH($V197,'Data manipulation'!$B$23:$B$39,0),MATCH($X197,'Data manipulation'!$C$22:$O$22,0))/1000,0)*SUMIFS('Regional split'!$F$4:$F$6,'Regional split'!$B$4:$B$6,AA$3)*SUMIFS('Data manipulation'!$V$39:$V$42,'Data manipulation'!$X$39:$X$42,$E197,'Data manipulation'!$Y$39:$Y$42,$D197)</f>
        <v>0</v>
      </c>
      <c r="AB197" s="444">
        <f t="shared" si="281"/>
        <v>2.4415399372000004</v>
      </c>
      <c r="AC197" s="251">
        <f t="shared" si="282"/>
        <v>0</v>
      </c>
      <c r="AD197" s="445">
        <f t="shared" si="283"/>
        <v>0</v>
      </c>
      <c r="AU197" s="260"/>
      <c r="AZ197" s="252"/>
    </row>
    <row r="198" spans="2:52" ht="15" customHeight="1">
      <c r="B198" s="233" t="str">
        <f t="shared" ref="B198:G198" si="292">B118</f>
        <v>CHTUMHCEE1</v>
      </c>
      <c r="C198" s="233" t="str">
        <f t="shared" si="292"/>
        <v>Residential Heating Technology Urban Multi - District heating Central - Existing 1</v>
      </c>
      <c r="D198" s="233" t="str">
        <f t="shared" si="292"/>
        <v>Urban</v>
      </c>
      <c r="E198" s="233" t="str">
        <f t="shared" si="292"/>
        <v>Multi storey</v>
      </c>
      <c r="F198" s="233" t="str">
        <f t="shared" si="292"/>
        <v>COMHCE</v>
      </c>
      <c r="G198" s="233" t="str">
        <f t="shared" si="292"/>
        <v>COMHUMX</v>
      </c>
      <c r="H198" s="569">
        <f t="shared" si="258"/>
        <v>2048</v>
      </c>
      <c r="I198" s="568">
        <v>0</v>
      </c>
      <c r="J198" s="568">
        <v>0</v>
      </c>
      <c r="K198" s="568">
        <v>0</v>
      </c>
      <c r="L198" s="463">
        <v>0.95</v>
      </c>
      <c r="M198" s="463">
        <v>0.95</v>
      </c>
      <c r="N198" s="463">
        <v>0.95</v>
      </c>
      <c r="O198" s="244">
        <f t="shared" si="286"/>
        <v>3.1536000000000002E-2</v>
      </c>
      <c r="P198" s="459">
        <v>0.15</v>
      </c>
      <c r="Q198" s="245">
        <v>30</v>
      </c>
      <c r="R198" s="227">
        <v>1.05</v>
      </c>
      <c r="T198" s="268">
        <f t="shared" si="269"/>
        <v>0</v>
      </c>
      <c r="U198" s="268"/>
      <c r="V198" s="592" t="str">
        <f>'Data manipulation'!$B$34</f>
        <v>Heat</v>
      </c>
      <c r="W198" s="254" t="s">
        <v>172</v>
      </c>
      <c r="X198" s="246">
        <v>2019</v>
      </c>
      <c r="Y198" s="433">
        <f>_xlfn.IFNA(INDEX('Data manipulation'!$C$23:$O$39,MATCH($V198,'Data manipulation'!$B$23:$B$39,0),MATCH($X198,'Data manipulation'!$C$22:$O$22,0))/1000,0)*SUMIFS('Regional split'!$F$4:$F$6,'Regional split'!$B$4:$B$6,Y$3)*SUMIFS('Data manipulation'!$V$39:$V$42,'Data manipulation'!$X$39:$X$42,$E198,'Data manipulation'!$Y$39:$Y$42,$D198)</f>
        <v>14.667112783810833</v>
      </c>
      <c r="Z198" s="433">
        <f>_xlfn.IFNA(INDEX('Data manipulation'!$C$23:$O$39,MATCH($V198,'Data manipulation'!$B$23:$B$39,0),MATCH($X198,'Data manipulation'!$C$22:$O$22,0))/1000,0)*SUMIFS('Regional split'!$F$4:$F$6,'Regional split'!$B$4:$B$6,Z$3)*SUMIFS('Data manipulation'!$V$39:$V$42,'Data manipulation'!$X$39:$X$42,$E198,'Data manipulation'!$Y$39:$Y$42,$D198)</f>
        <v>0</v>
      </c>
      <c r="AA198" s="433">
        <f>_xlfn.IFNA(INDEX('Data manipulation'!$C$23:$O$39,MATCH($V198,'Data manipulation'!$B$23:$B$39,0),MATCH($X198,'Data manipulation'!$C$22:$O$22,0))/1000,0)*SUMIFS('Regional split'!$F$4:$F$6,'Regional split'!$B$4:$B$6,AA$3)*SUMIFS('Data manipulation'!$V$39:$V$42,'Data manipulation'!$X$39:$X$42,$E198,'Data manipulation'!$Y$39:$Y$42,$D198)</f>
        <v>0</v>
      </c>
      <c r="AB198" s="444">
        <f t="shared" si="281"/>
        <v>13.933757144620291</v>
      </c>
      <c r="AC198" s="251">
        <f t="shared" si="282"/>
        <v>0</v>
      </c>
      <c r="AD198" s="445">
        <f t="shared" si="283"/>
        <v>0</v>
      </c>
      <c r="AU198" s="260"/>
      <c r="AZ198" s="252"/>
    </row>
    <row r="199" spans="2:52" ht="15" customHeight="1" thickBot="1">
      <c r="B199" s="255" t="str">
        <f t="shared" ref="B199:G199" si="293">B119</f>
        <v>CHTUMLPGE1</v>
      </c>
      <c r="C199" s="255" t="str">
        <f t="shared" si="293"/>
        <v>Residential Heating Technology Urban Multi - LPG - Existing 1</v>
      </c>
      <c r="D199" s="531" t="str">
        <f t="shared" si="293"/>
        <v>Urban</v>
      </c>
      <c r="E199" s="531" t="str">
        <f t="shared" si="293"/>
        <v>Multi storey</v>
      </c>
      <c r="F199" s="255" t="str">
        <f t="shared" si="293"/>
        <v>COMLPG</v>
      </c>
      <c r="G199" s="255" t="str">
        <f t="shared" si="293"/>
        <v>COMHUMB</v>
      </c>
      <c r="H199" s="571">
        <f t="shared" si="258"/>
        <v>2048</v>
      </c>
      <c r="I199" s="297">
        <v>0</v>
      </c>
      <c r="J199" s="297">
        <v>0</v>
      </c>
      <c r="K199" s="297">
        <v>0</v>
      </c>
      <c r="L199" s="464">
        <v>0.95</v>
      </c>
      <c r="M199" s="464">
        <v>0.95</v>
      </c>
      <c r="N199" s="464">
        <v>0.95</v>
      </c>
      <c r="O199" s="257">
        <f t="shared" si="286"/>
        <v>3.1536000000000002E-2</v>
      </c>
      <c r="P199" s="460">
        <v>0.15</v>
      </c>
      <c r="Q199" s="258">
        <v>30</v>
      </c>
      <c r="R199" s="227">
        <v>1.05</v>
      </c>
      <c r="T199" s="268">
        <f t="shared" si="269"/>
        <v>0</v>
      </c>
      <c r="U199" s="268"/>
      <c r="V199" s="593" t="str">
        <f>'Data manipulation'!$B$25</f>
        <v>Liquefied natural gas</v>
      </c>
      <c r="W199" s="428" t="s">
        <v>771</v>
      </c>
      <c r="X199" s="246">
        <v>2019</v>
      </c>
      <c r="Y199" s="433">
        <f>_xlfn.IFNA(INDEX('Data manipulation'!$C$23:$O$39,MATCH($V199,'Data manipulation'!$B$23:$B$39,0),MATCH($X199,'Data manipulation'!$C$22:$O$22,0))/1000,0)*SUMIFS('Regional split'!$F$4:$F$6,'Regional split'!$B$4:$B$6,Y$3)*SUMIFS('Data manipulation'!$V$39:$V$42,'Data manipulation'!$X$39:$X$42,$E199,'Data manipulation'!$Y$39:$Y$42,$D199)</f>
        <v>1.8355621679176473</v>
      </c>
      <c r="Z199" s="433">
        <f>_xlfn.IFNA(INDEX('Data manipulation'!$C$23:$O$39,MATCH($V199,'Data manipulation'!$B$23:$B$39,0),MATCH($X199,'Data manipulation'!$C$22:$O$22,0))/1000,0)*SUMIFS('Regional split'!$F$4:$F$6,'Regional split'!$B$4:$B$6,Z$3)*SUMIFS('Data manipulation'!$V$39:$V$42,'Data manipulation'!$X$39:$X$42,$E199,'Data manipulation'!$Y$39:$Y$42,$D199)</f>
        <v>0</v>
      </c>
      <c r="AA199" s="433">
        <f>_xlfn.IFNA(INDEX('Data manipulation'!$C$23:$O$39,MATCH($V199,'Data manipulation'!$B$23:$B$39,0),MATCH($X199,'Data manipulation'!$C$22:$O$22,0))/1000,0)*SUMIFS('Regional split'!$F$4:$F$6,'Regional split'!$B$4:$B$6,AA$3)*SUMIFS('Data manipulation'!$V$39:$V$42,'Data manipulation'!$X$39:$X$42,$E199,'Data manipulation'!$Y$39:$Y$42,$D199)</f>
        <v>0</v>
      </c>
      <c r="AB199" s="451">
        <f t="shared" si="281"/>
        <v>1.7437840595217649</v>
      </c>
      <c r="AC199" s="277">
        <f t="shared" si="282"/>
        <v>0</v>
      </c>
      <c r="AD199" s="447">
        <f t="shared" si="283"/>
        <v>0</v>
      </c>
      <c r="AU199" s="260"/>
      <c r="AZ199" s="252"/>
    </row>
    <row r="200" spans="2:52" ht="15" customHeight="1">
      <c r="B200" s="233" t="str">
        <f t="shared" ref="B200:G200" si="294">B120</f>
        <v>CHTRMNGAE1</v>
      </c>
      <c r="C200" s="233" t="str">
        <f t="shared" si="294"/>
        <v>Residential Heating Technology Rural Multi - Natural Gas - Existing 1</v>
      </c>
      <c r="D200" s="233" t="str">
        <f t="shared" si="294"/>
        <v>Rural</v>
      </c>
      <c r="E200" s="233" t="str">
        <f t="shared" si="294"/>
        <v>Multi storey</v>
      </c>
      <c r="F200" s="233" t="str">
        <f t="shared" si="294"/>
        <v>COMNGA,COMSNG</v>
      </c>
      <c r="G200" s="233" t="str">
        <f t="shared" si="294"/>
        <v>COMHRMB</v>
      </c>
      <c r="H200" s="570">
        <f t="shared" si="258"/>
        <v>2043</v>
      </c>
      <c r="I200" s="250">
        <v>0</v>
      </c>
      <c r="J200" s="250">
        <v>0</v>
      </c>
      <c r="K200" s="250">
        <v>0</v>
      </c>
      <c r="L200" s="463">
        <v>0.79</v>
      </c>
      <c r="M200" s="463">
        <v>0.79</v>
      </c>
      <c r="N200" s="463">
        <v>0.79</v>
      </c>
      <c r="O200" s="244">
        <f t="shared" si="286"/>
        <v>3.1536000000000002E-2</v>
      </c>
      <c r="P200" s="459">
        <v>0.15</v>
      </c>
      <c r="Q200" s="245">
        <v>25</v>
      </c>
      <c r="R200" s="227">
        <v>1.05</v>
      </c>
      <c r="T200" s="268">
        <f t="shared" si="269"/>
        <v>0</v>
      </c>
      <c r="U200" s="268"/>
      <c r="V200" s="592" t="str">
        <f>'Data manipulation'!$B$36</f>
        <v>Natural gas and biogas</v>
      </c>
      <c r="W200" s="246" t="s">
        <v>168</v>
      </c>
      <c r="X200" s="246">
        <v>2019</v>
      </c>
      <c r="Y200" s="433">
        <f>_xlfn.IFNA(INDEX('Data manipulation'!$C$23:$O$39,MATCH($V200,'Data manipulation'!$B$23:$B$39,0),MATCH($X200,'Data manipulation'!$C$22:$O$22,0))/1000,0)*SUMIFS('Regional split'!$F$4:$F$6,'Regional split'!$B$4:$B$6,Y$3)*SUMIFS('Data manipulation'!$V$39:$V$42,'Data manipulation'!$X$39:$X$42,$E200,'Data manipulation'!$Y$39:$Y$42,$D200)</f>
        <v>6.1855332793417945</v>
      </c>
      <c r="Z200" s="433">
        <f>_xlfn.IFNA(INDEX('Data manipulation'!$C$23:$O$39,MATCH($V200,'Data manipulation'!$B$23:$B$39,0),MATCH($X200,'Data manipulation'!$C$22:$O$22,0))/1000,0)*SUMIFS('Regional split'!$F$4:$F$6,'Regional split'!$B$4:$B$6,Z$3)*SUMIFS('Data manipulation'!$V$39:$V$42,'Data manipulation'!$X$39:$X$42,$E200,'Data manipulation'!$Y$39:$Y$42,$D200)</f>
        <v>0</v>
      </c>
      <c r="AA200" s="433">
        <f>_xlfn.IFNA(INDEX('Data manipulation'!$C$23:$O$39,MATCH($V200,'Data manipulation'!$B$23:$B$39,0),MATCH($X200,'Data manipulation'!$C$22:$O$22,0))/1000,0)*SUMIFS('Regional split'!$F$4:$F$6,'Regional split'!$B$4:$B$6,AA$3)*SUMIFS('Data manipulation'!$V$39:$V$42,'Data manipulation'!$X$39:$X$42,$E200,'Data manipulation'!$Y$39:$Y$42,$D200)</f>
        <v>0</v>
      </c>
      <c r="AB200" s="452">
        <f t="shared" si="281"/>
        <v>4.8865712906800178</v>
      </c>
      <c r="AC200" s="278">
        <f t="shared" si="282"/>
        <v>0</v>
      </c>
      <c r="AD200" s="448">
        <f t="shared" si="283"/>
        <v>0</v>
      </c>
      <c r="AU200" s="260"/>
      <c r="AZ200" s="252"/>
    </row>
    <row r="201" spans="2:52" ht="15" customHeight="1">
      <c r="B201" s="233" t="str">
        <f t="shared" ref="B201:G201" si="295">B121</f>
        <v>CHTRMDSLE1</v>
      </c>
      <c r="C201" s="233" t="str">
        <f t="shared" si="295"/>
        <v>Residential Heating Technology Rural Multi - Diesel - Existing 1</v>
      </c>
      <c r="D201" s="233" t="str">
        <f t="shared" si="295"/>
        <v>Rural</v>
      </c>
      <c r="E201" s="233" t="str">
        <f t="shared" si="295"/>
        <v>Multi storey</v>
      </c>
      <c r="F201" s="233" t="str">
        <f t="shared" si="295"/>
        <v>COMDSL,COMDSB</v>
      </c>
      <c r="G201" s="233" t="str">
        <f t="shared" si="295"/>
        <v>COMHRMB</v>
      </c>
      <c r="H201" s="570">
        <f t="shared" si="258"/>
        <v>2038</v>
      </c>
      <c r="I201" s="250">
        <v>0</v>
      </c>
      <c r="J201" s="250">
        <v>0</v>
      </c>
      <c r="K201" s="250">
        <v>0</v>
      </c>
      <c r="L201" s="463">
        <v>0.79</v>
      </c>
      <c r="M201" s="463">
        <v>0.79</v>
      </c>
      <c r="N201" s="463">
        <v>0.79</v>
      </c>
      <c r="O201" s="244">
        <f t="shared" si="286"/>
        <v>3.1536000000000002E-2</v>
      </c>
      <c r="P201" s="459">
        <v>0.15</v>
      </c>
      <c r="Q201" s="245">
        <v>20</v>
      </c>
      <c r="R201" s="227">
        <v>1.05</v>
      </c>
      <c r="T201" s="268">
        <f t="shared" si="269"/>
        <v>0</v>
      </c>
      <c r="V201" s="592" t="str">
        <f>'Data manipulation'!$B$35</f>
        <v>Oil products</v>
      </c>
      <c r="W201" s="254" t="s">
        <v>729</v>
      </c>
      <c r="X201" s="246">
        <v>2019</v>
      </c>
      <c r="Y201" s="433">
        <f>_xlfn.IFNA(INDEX('Data manipulation'!$C$23:$O$39,MATCH($V201,'Data manipulation'!$B$23:$B$39,0),MATCH($X201,'Data manipulation'!$C$22:$O$22,0))/1000,0)*SUMIFS('Regional split'!$F$4:$F$6,'Regional split'!$B$4:$B$6,Y$3)*SUMIFS('Data manipulation'!$V$39:$V$42,'Data manipulation'!$X$39:$X$42,$E201,'Data manipulation'!$Y$39:$Y$42,$D201)</f>
        <v>0</v>
      </c>
      <c r="Z201" s="433">
        <f>_xlfn.IFNA(INDEX('Data manipulation'!$C$23:$O$39,MATCH($V201,'Data manipulation'!$B$23:$B$39,0),MATCH($X201,'Data manipulation'!$C$22:$O$22,0))/1000,0)*SUMIFS('Regional split'!$F$4:$F$6,'Regional split'!$B$4:$B$6,Z$3)*SUMIFS('Data manipulation'!$V$39:$V$42,'Data manipulation'!$X$39:$X$42,$E201,'Data manipulation'!$Y$39:$Y$42,$D201)</f>
        <v>0</v>
      </c>
      <c r="AA201" s="433">
        <f>_xlfn.IFNA(INDEX('Data manipulation'!$C$23:$O$39,MATCH($V201,'Data manipulation'!$B$23:$B$39,0),MATCH($X201,'Data manipulation'!$C$22:$O$22,0))/1000,0)*SUMIFS('Regional split'!$F$4:$F$6,'Regional split'!$B$4:$B$6,AA$3)*SUMIFS('Data manipulation'!$V$39:$V$42,'Data manipulation'!$X$39:$X$42,$E201,'Data manipulation'!$Y$39:$Y$42,$D201)</f>
        <v>0</v>
      </c>
      <c r="AB201" s="444">
        <f t="shared" si="281"/>
        <v>0</v>
      </c>
      <c r="AC201" s="251">
        <f t="shared" si="282"/>
        <v>0</v>
      </c>
      <c r="AD201" s="445">
        <f t="shared" si="283"/>
        <v>0</v>
      </c>
      <c r="AU201" s="260"/>
      <c r="AZ201" s="252"/>
    </row>
    <row r="202" spans="2:52" ht="15" customHeight="1">
      <c r="B202" s="233" t="str">
        <f t="shared" ref="B202:G202" si="296">B122</f>
        <v>CHTRMWPEE1</v>
      </c>
      <c r="C202" s="233" t="str">
        <f t="shared" si="296"/>
        <v>Residential Heating Technology Rural Multi - Wood pellets - Existing 1</v>
      </c>
      <c r="D202" s="233" t="str">
        <f t="shared" si="296"/>
        <v>Rural</v>
      </c>
      <c r="E202" s="233" t="str">
        <f t="shared" si="296"/>
        <v>Multi storey</v>
      </c>
      <c r="F202" s="233" t="str">
        <f t="shared" si="296"/>
        <v>COMWPE</v>
      </c>
      <c r="G202" s="233" t="str">
        <f t="shared" si="296"/>
        <v>COMHRMB</v>
      </c>
      <c r="H202" s="570">
        <f t="shared" si="258"/>
        <v>2038</v>
      </c>
      <c r="I202" s="250">
        <v>0</v>
      </c>
      <c r="J202" s="250">
        <v>0</v>
      </c>
      <c r="K202" s="250">
        <v>0</v>
      </c>
      <c r="L202" s="463">
        <v>0.67</v>
      </c>
      <c r="M202" s="463">
        <v>0.67</v>
      </c>
      <c r="N202" s="463">
        <v>0.67</v>
      </c>
      <c r="O202" s="244">
        <f>31.536/1000</f>
        <v>3.1536000000000002E-2</v>
      </c>
      <c r="P202" s="459">
        <v>0.15</v>
      </c>
      <c r="Q202" s="245">
        <v>20</v>
      </c>
      <c r="R202" s="227">
        <v>1.05</v>
      </c>
      <c r="T202" s="268">
        <f t="shared" si="269"/>
        <v>0</v>
      </c>
      <c r="U202" s="268"/>
      <c r="W202" s="254" t="s">
        <v>866</v>
      </c>
      <c r="X202" s="246">
        <v>2019</v>
      </c>
      <c r="Y202" s="433">
        <f>_xlfn.IFNA(INDEX('Data manipulation'!$C$23:$O$39,MATCH($V202,'Data manipulation'!$B$23:$B$39,0),MATCH($X202,'Data manipulation'!$C$22:$O$22,0))/1000,0)*SUMIFS('Regional split'!$F$4:$F$6,'Regional split'!$B$4:$B$6,Y$3)*SUMIFS('Data manipulation'!$V$39:$V$42,'Data manipulation'!$X$39:$X$42,$E202,'Data manipulation'!$Y$39:$Y$42,$D202)</f>
        <v>0</v>
      </c>
      <c r="Z202" s="433">
        <f>_xlfn.IFNA(INDEX('Data manipulation'!$C$23:$O$39,MATCH($V202,'Data manipulation'!$B$23:$B$39,0),MATCH($X202,'Data manipulation'!$C$22:$O$22,0))/1000,0)*SUMIFS('Regional split'!$F$4:$F$6,'Regional split'!$B$4:$B$6,Z$3)*SUMIFS('Data manipulation'!$V$39:$V$42,'Data manipulation'!$X$39:$X$42,$E202,'Data manipulation'!$Y$39:$Y$42,$D202)</f>
        <v>0</v>
      </c>
      <c r="AA202" s="433">
        <f>_xlfn.IFNA(INDEX('Data manipulation'!$C$23:$O$39,MATCH($V202,'Data manipulation'!$B$23:$B$39,0),MATCH($X202,'Data manipulation'!$C$22:$O$22,0))/1000,0)*SUMIFS('Regional split'!$F$4:$F$6,'Regional split'!$B$4:$B$6,AA$3)*SUMIFS('Data manipulation'!$V$39:$V$42,'Data manipulation'!$X$39:$X$42,$E202,'Data manipulation'!$Y$39:$Y$42,$D202)</f>
        <v>0</v>
      </c>
      <c r="AB202" s="444">
        <f t="shared" si="281"/>
        <v>0</v>
      </c>
      <c r="AC202" s="251">
        <f t="shared" si="282"/>
        <v>0</v>
      </c>
      <c r="AD202" s="445">
        <f t="shared" si="283"/>
        <v>0</v>
      </c>
      <c r="AU202" s="260"/>
      <c r="AZ202" s="252"/>
    </row>
    <row r="203" spans="2:52" ht="15" customHeight="1">
      <c r="B203" s="233" t="str">
        <f t="shared" ref="B203:G203" si="297">B123</f>
        <v>CHTRMFIWE1</v>
      </c>
      <c r="C203" s="233" t="str">
        <f t="shared" si="297"/>
        <v>Residential Heating Technology Rural Multi - Fire wood - Existing 1</v>
      </c>
      <c r="D203" s="233" t="str">
        <f t="shared" si="297"/>
        <v>Rural</v>
      </c>
      <c r="E203" s="233" t="str">
        <f t="shared" si="297"/>
        <v>Multi storey</v>
      </c>
      <c r="F203" s="233" t="str">
        <f t="shared" si="297"/>
        <v>COMFIW</v>
      </c>
      <c r="G203" s="233" t="str">
        <f t="shared" si="297"/>
        <v>COMHRMB</v>
      </c>
      <c r="H203" s="570">
        <f t="shared" si="258"/>
        <v>2038</v>
      </c>
      <c r="I203" s="250">
        <v>0</v>
      </c>
      <c r="J203" s="250">
        <v>0</v>
      </c>
      <c r="K203" s="250">
        <v>0</v>
      </c>
      <c r="L203" s="463">
        <v>0.67</v>
      </c>
      <c r="M203" s="463">
        <v>0.67</v>
      </c>
      <c r="N203" s="463">
        <v>0.67</v>
      </c>
      <c r="O203" s="244">
        <f>31.536/1000</f>
        <v>3.1536000000000002E-2</v>
      </c>
      <c r="P203" s="459">
        <v>0.15</v>
      </c>
      <c r="Q203" s="245">
        <v>20</v>
      </c>
      <c r="R203" s="227">
        <v>1.05</v>
      </c>
      <c r="T203" s="268">
        <f t="shared" si="269"/>
        <v>0</v>
      </c>
      <c r="U203" s="268"/>
      <c r="V203" s="592" t="str">
        <f>'Data manipulation'!$B$31</f>
        <v>Primary solid biofuels</v>
      </c>
      <c r="W203" s="254" t="s">
        <v>177</v>
      </c>
      <c r="X203" s="246">
        <v>2019</v>
      </c>
      <c r="Y203" s="433">
        <f>_xlfn.IFNA(INDEX('Data manipulation'!$C$23:$O$39,MATCH($V203,'Data manipulation'!$B$23:$B$39,0),MATCH($X203,'Data manipulation'!$C$22:$O$22,0))/1000,0)*SUMIFS('Regional split'!$F$4:$F$6,'Regional split'!$B$4:$B$6,Y$3)*SUMIFS('Data manipulation'!$V$39:$V$42,'Data manipulation'!$X$39:$X$42,$E203,'Data manipulation'!$Y$39:$Y$42,$D203)</f>
        <v>1.0616700451724763</v>
      </c>
      <c r="Z203" s="433">
        <f>_xlfn.IFNA(INDEX('Data manipulation'!$C$23:$O$39,MATCH($V203,'Data manipulation'!$B$23:$B$39,0),MATCH($X203,'Data manipulation'!$C$22:$O$22,0))/1000,0)*SUMIFS('Regional split'!$F$4:$F$6,'Regional split'!$B$4:$B$6,Z$3)*SUMIFS('Data manipulation'!$V$39:$V$42,'Data manipulation'!$X$39:$X$42,$E203,'Data manipulation'!$Y$39:$Y$42,$D203)</f>
        <v>0</v>
      </c>
      <c r="AA203" s="433">
        <f>_xlfn.IFNA(INDEX('Data manipulation'!$C$23:$O$39,MATCH($V203,'Data manipulation'!$B$23:$B$39,0),MATCH($X203,'Data manipulation'!$C$22:$O$22,0))/1000,0)*SUMIFS('Regional split'!$F$4:$F$6,'Regional split'!$B$4:$B$6,AA$3)*SUMIFS('Data manipulation'!$V$39:$V$42,'Data manipulation'!$X$39:$X$42,$E203,'Data manipulation'!$Y$39:$Y$42,$D203)</f>
        <v>0</v>
      </c>
      <c r="AB203" s="444">
        <f t="shared" si="281"/>
        <v>0.71131893026555915</v>
      </c>
      <c r="AC203" s="251">
        <f t="shared" si="282"/>
        <v>0</v>
      </c>
      <c r="AD203" s="445">
        <f t="shared" si="283"/>
        <v>0</v>
      </c>
      <c r="AU203" s="260"/>
      <c r="AZ203" s="252"/>
    </row>
    <row r="204" spans="2:52" ht="15" customHeight="1">
      <c r="B204" s="233" t="str">
        <f t="shared" ref="B204:G204" si="298">B124</f>
        <v>CHTRMCOAE1</v>
      </c>
      <c r="C204" s="233" t="str">
        <f t="shared" si="298"/>
        <v>Residential Heating Technology Rural Multi - Coal - Existing 1</v>
      </c>
      <c r="D204" s="233" t="str">
        <f t="shared" si="298"/>
        <v>Rural</v>
      </c>
      <c r="E204" s="233" t="str">
        <f t="shared" si="298"/>
        <v>Multi storey</v>
      </c>
      <c r="F204" s="233" t="str">
        <f t="shared" si="298"/>
        <v>COMCOA</v>
      </c>
      <c r="G204" s="233" t="str">
        <f t="shared" si="298"/>
        <v>COMHRMB</v>
      </c>
      <c r="H204" s="570">
        <f t="shared" si="258"/>
        <v>2038</v>
      </c>
      <c r="I204" s="250">
        <v>0</v>
      </c>
      <c r="J204" s="250">
        <v>0</v>
      </c>
      <c r="K204" s="250">
        <v>0</v>
      </c>
      <c r="L204" s="463">
        <v>0.72</v>
      </c>
      <c r="M204" s="463">
        <v>0.72</v>
      </c>
      <c r="N204" s="463">
        <v>0.72</v>
      </c>
      <c r="O204" s="244">
        <f t="shared" si="286"/>
        <v>3.1536000000000002E-2</v>
      </c>
      <c r="P204" s="459">
        <v>0.15</v>
      </c>
      <c r="Q204" s="245">
        <v>20</v>
      </c>
      <c r="R204" s="227">
        <v>1.05</v>
      </c>
      <c r="T204" s="268">
        <f t="shared" si="269"/>
        <v>0</v>
      </c>
      <c r="U204" s="268"/>
      <c r="V204" s="592" t="str">
        <f>'Data manipulation'!$B$23</f>
        <v>Solid fossil fuels, peat, peat products, oil shale and oil sands</v>
      </c>
      <c r="W204" s="254" t="s">
        <v>863</v>
      </c>
      <c r="X204" s="246">
        <v>2019</v>
      </c>
      <c r="Y204" s="433">
        <f>_xlfn.IFNA(INDEX('Data manipulation'!$C$23:$O$39,MATCH($V204,'Data manipulation'!$B$23:$B$39,0),MATCH($X204,'Data manipulation'!$C$22:$O$22,0))/1000,0)*SUMIFS('Regional split'!$F$4:$F$6,'Regional split'!$B$4:$B$6,Y$3)*SUMIFS('Data manipulation'!$V$39:$V$42,'Data manipulation'!$X$39:$X$42,$E204,'Data manipulation'!$Y$39:$Y$42,$D204)</f>
        <v>1.462772E-3</v>
      </c>
      <c r="Z204" s="433">
        <f>_xlfn.IFNA(INDEX('Data manipulation'!$C$23:$O$39,MATCH($V204,'Data manipulation'!$B$23:$B$39,0),MATCH($X204,'Data manipulation'!$C$22:$O$22,0))/1000,0)*SUMIFS('Regional split'!$F$4:$F$6,'Regional split'!$B$4:$B$6,Z$3)*SUMIFS('Data manipulation'!$V$39:$V$42,'Data manipulation'!$X$39:$X$42,$E204,'Data manipulation'!$Y$39:$Y$42,$D204)</f>
        <v>0</v>
      </c>
      <c r="AA204" s="433">
        <f>_xlfn.IFNA(INDEX('Data manipulation'!$C$23:$O$39,MATCH($V204,'Data manipulation'!$B$23:$B$39,0),MATCH($X204,'Data manipulation'!$C$22:$O$22,0))/1000,0)*SUMIFS('Regional split'!$F$4:$F$6,'Regional split'!$B$4:$B$6,AA$3)*SUMIFS('Data manipulation'!$V$39:$V$42,'Data manipulation'!$X$39:$X$42,$E204,'Data manipulation'!$Y$39:$Y$42,$D204)</f>
        <v>0</v>
      </c>
      <c r="AB204" s="444">
        <f t="shared" si="281"/>
        <v>1.0531958399999999E-3</v>
      </c>
      <c r="AC204" s="251">
        <f t="shared" si="282"/>
        <v>0</v>
      </c>
      <c r="AD204" s="445">
        <f t="shared" si="283"/>
        <v>0</v>
      </c>
      <c r="AU204" s="260"/>
      <c r="AZ204" s="252"/>
    </row>
    <row r="205" spans="2:52" ht="15" customHeight="1">
      <c r="B205" s="233" t="str">
        <f t="shared" ref="B205:G205" si="299">B125</f>
        <v>CHTRMSOLE1</v>
      </c>
      <c r="C205" s="233" t="str">
        <f t="shared" si="299"/>
        <v>Residential Heating Technology Rural Multi - Solar - Existing 1</v>
      </c>
      <c r="D205" s="233" t="str">
        <f t="shared" si="299"/>
        <v>Rural</v>
      </c>
      <c r="E205" s="233" t="str">
        <f t="shared" si="299"/>
        <v>Multi storey</v>
      </c>
      <c r="F205" s="233" t="str">
        <f t="shared" si="299"/>
        <v>COMSOL</v>
      </c>
      <c r="G205" s="233" t="str">
        <f t="shared" si="299"/>
        <v>COMHRMB</v>
      </c>
      <c r="H205" s="570">
        <f t="shared" si="258"/>
        <v>2038</v>
      </c>
      <c r="I205" s="250">
        <v>0</v>
      </c>
      <c r="J205" s="250">
        <v>0</v>
      </c>
      <c r="K205" s="250">
        <v>0</v>
      </c>
      <c r="L205" s="463">
        <v>1</v>
      </c>
      <c r="M205" s="463">
        <v>1</v>
      </c>
      <c r="N205" s="463">
        <v>1</v>
      </c>
      <c r="O205" s="244">
        <f t="shared" si="286"/>
        <v>3.1536000000000002E-2</v>
      </c>
      <c r="P205" s="459">
        <v>0.15</v>
      </c>
      <c r="Q205" s="245">
        <v>20</v>
      </c>
      <c r="R205" s="227">
        <v>1.05</v>
      </c>
      <c r="T205" s="268">
        <f t="shared" si="269"/>
        <v>0</v>
      </c>
      <c r="U205" s="268"/>
      <c r="V205" s="592" t="str">
        <f>'Data manipulation'!$B$29</f>
        <v>Solar thermal</v>
      </c>
      <c r="W205" s="254" t="s">
        <v>169</v>
      </c>
      <c r="X205" s="246">
        <v>2019</v>
      </c>
      <c r="Y205" s="433">
        <f>_xlfn.IFNA(INDEX('Data manipulation'!$C$23:$O$39,MATCH($V205,'Data manipulation'!$B$23:$B$39,0),MATCH($X205,'Data manipulation'!$C$22:$O$22,0))/1000,0)*SUMIFS('Regional split'!$F$4:$F$6,'Regional split'!$B$4:$B$6,Y$3)*SUMIFS('Data manipulation'!$V$39:$V$42,'Data manipulation'!$X$39:$X$42,$E205,'Data manipulation'!$Y$39:$Y$42,$D205)</f>
        <v>3.1460960000000001E-3</v>
      </c>
      <c r="Z205" s="433">
        <f>_xlfn.IFNA(INDEX('Data manipulation'!$C$23:$O$39,MATCH($V205,'Data manipulation'!$B$23:$B$39,0),MATCH($X205,'Data manipulation'!$C$22:$O$22,0))/1000,0)*SUMIFS('Regional split'!$F$4:$F$6,'Regional split'!$B$4:$B$6,Z$3)*SUMIFS('Data manipulation'!$V$39:$V$42,'Data manipulation'!$X$39:$X$42,$E205,'Data manipulation'!$Y$39:$Y$42,$D205)</f>
        <v>0</v>
      </c>
      <c r="AA205" s="433">
        <f>_xlfn.IFNA(INDEX('Data manipulation'!$C$23:$O$39,MATCH($V205,'Data manipulation'!$B$23:$B$39,0),MATCH($X205,'Data manipulation'!$C$22:$O$22,0))/1000,0)*SUMIFS('Regional split'!$F$4:$F$6,'Regional split'!$B$4:$B$6,AA$3)*SUMIFS('Data manipulation'!$V$39:$V$42,'Data manipulation'!$X$39:$X$42,$E205,'Data manipulation'!$Y$39:$Y$42,$D205)</f>
        <v>0</v>
      </c>
      <c r="AB205" s="444">
        <f t="shared" si="281"/>
        <v>3.1460960000000001E-3</v>
      </c>
      <c r="AC205" s="251">
        <f t="shared" si="282"/>
        <v>0</v>
      </c>
      <c r="AD205" s="445">
        <f t="shared" si="283"/>
        <v>0</v>
      </c>
      <c r="AU205" s="260"/>
      <c r="AZ205" s="252"/>
    </row>
    <row r="206" spans="2:52" ht="15" customHeight="1">
      <c r="B206" s="233" t="str">
        <f t="shared" ref="B206:G206" si="300">B126</f>
        <v>CHTRMELCHE1</v>
      </c>
      <c r="C206" s="233" t="str">
        <f t="shared" si="300"/>
        <v>Residential Heating Technology Rural Multi - Electricity Heating - Existing 1</v>
      </c>
      <c r="D206" s="233" t="str">
        <f t="shared" si="300"/>
        <v>Rural</v>
      </c>
      <c r="E206" s="233" t="str">
        <f t="shared" si="300"/>
        <v>Multi storey</v>
      </c>
      <c r="F206" s="233" t="str">
        <f t="shared" si="300"/>
        <v>COMELCH</v>
      </c>
      <c r="G206" s="233" t="str">
        <f t="shared" si="300"/>
        <v>COMHRMB</v>
      </c>
      <c r="H206" s="570">
        <f t="shared" si="258"/>
        <v>2048</v>
      </c>
      <c r="I206" s="250">
        <v>0</v>
      </c>
      <c r="J206" s="250">
        <v>0</v>
      </c>
      <c r="K206" s="250">
        <v>0</v>
      </c>
      <c r="L206" s="463">
        <v>1</v>
      </c>
      <c r="M206" s="463">
        <v>1</v>
      </c>
      <c r="N206" s="463">
        <v>1</v>
      </c>
      <c r="O206" s="244">
        <f t="shared" si="286"/>
        <v>3.1536000000000002E-2</v>
      </c>
      <c r="P206" s="459">
        <v>0.15</v>
      </c>
      <c r="Q206" s="245">
        <v>30</v>
      </c>
      <c r="R206" s="227">
        <v>1.05</v>
      </c>
      <c r="T206" s="268">
        <f t="shared" si="269"/>
        <v>0</v>
      </c>
      <c r="U206" s="268"/>
      <c r="V206" s="592" t="str">
        <f>'Data manipulation'!$B$33</f>
        <v>Electricity</v>
      </c>
      <c r="W206" s="254" t="s">
        <v>170</v>
      </c>
      <c r="X206" s="246">
        <v>2019</v>
      </c>
      <c r="Y206" s="433">
        <f>_xlfn.IFNA(INDEX('Data manipulation'!$C$23:$O$39,MATCH($V206,'Data manipulation'!$B$23:$B$39,0),MATCH($X206,'Data manipulation'!$C$22:$O$22,0))/1000,0)*SUMIFS('Regional split'!$F$4:$F$6,'Regional split'!$B$4:$B$6,Y$3)*SUMIFS('Data manipulation'!$V$39:$V$42,'Data manipulation'!$X$39:$X$42,$E206,'Data manipulation'!$Y$39:$Y$42,$D206)</f>
        <v>0.52422946560663108</v>
      </c>
      <c r="Z206" s="433">
        <f>_xlfn.IFNA(INDEX('Data manipulation'!$C$23:$O$39,MATCH($V206,'Data manipulation'!$B$23:$B$39,0),MATCH($X206,'Data manipulation'!$C$22:$O$22,0))/1000,0)*SUMIFS('Regional split'!$F$4:$F$6,'Regional split'!$B$4:$B$6,Z$3)*SUMIFS('Data manipulation'!$V$39:$V$42,'Data manipulation'!$X$39:$X$42,$E206,'Data manipulation'!$Y$39:$Y$42,$D206)</f>
        <v>0</v>
      </c>
      <c r="AA206" s="433">
        <f>_xlfn.IFNA(INDEX('Data manipulation'!$C$23:$O$39,MATCH($V206,'Data manipulation'!$B$23:$B$39,0),MATCH($X206,'Data manipulation'!$C$22:$O$22,0))/1000,0)*SUMIFS('Regional split'!$F$4:$F$6,'Regional split'!$B$4:$B$6,AA$3)*SUMIFS('Data manipulation'!$V$39:$V$42,'Data manipulation'!$X$39:$X$42,$E206,'Data manipulation'!$Y$39:$Y$42,$D206)</f>
        <v>0</v>
      </c>
      <c r="AB206" s="444">
        <f t="shared" si="281"/>
        <v>0.52422946560663108</v>
      </c>
      <c r="AC206" s="251">
        <f t="shared" si="282"/>
        <v>0</v>
      </c>
      <c r="AD206" s="445">
        <f t="shared" si="283"/>
        <v>0</v>
      </c>
      <c r="AU206" s="260"/>
      <c r="AZ206" s="252"/>
    </row>
    <row r="207" spans="2:52" ht="15" customHeight="1">
      <c r="B207" s="233" t="str">
        <f t="shared" ref="B207:G207" si="301">B127</f>
        <v>CHTRMELCHE2</v>
      </c>
      <c r="C207" s="233" t="str">
        <f t="shared" si="301"/>
        <v>Residential Heating Technology Rural Multi - Electricity Heating - Existing 2</v>
      </c>
      <c r="D207" s="233" t="str">
        <f t="shared" si="301"/>
        <v>Rural</v>
      </c>
      <c r="E207" s="233" t="str">
        <f t="shared" si="301"/>
        <v>Multi storey</v>
      </c>
      <c r="F207" s="233" t="str">
        <f t="shared" si="301"/>
        <v>COMELCH</v>
      </c>
      <c r="G207" s="233" t="str">
        <f t="shared" si="301"/>
        <v>COMHRMB</v>
      </c>
      <c r="H207" s="570">
        <f t="shared" si="258"/>
        <v>2048</v>
      </c>
      <c r="I207" s="250">
        <v>0</v>
      </c>
      <c r="J207" s="250">
        <v>0</v>
      </c>
      <c r="K207" s="250">
        <v>0</v>
      </c>
      <c r="L207" s="463">
        <v>2.3149999999999999</v>
      </c>
      <c r="M207" s="463">
        <v>2.3149999999999999</v>
      </c>
      <c r="N207" s="463">
        <v>2.3149999999999999</v>
      </c>
      <c r="O207" s="244">
        <f t="shared" si="286"/>
        <v>3.1536000000000002E-2</v>
      </c>
      <c r="P207" s="459">
        <v>0.15</v>
      </c>
      <c r="Q207" s="245">
        <v>30</v>
      </c>
      <c r="R207" s="227">
        <v>1.05</v>
      </c>
      <c r="T207" s="268">
        <f t="shared" si="269"/>
        <v>0</v>
      </c>
      <c r="U207" s="268"/>
      <c r="V207" s="592" t="str">
        <f>'Data manipulation'!$B$30</f>
        <v>Ambient heat (heat pumps)</v>
      </c>
      <c r="W207" s="254" t="s">
        <v>171</v>
      </c>
      <c r="X207" s="246">
        <v>2019</v>
      </c>
      <c r="Y207" s="433">
        <f>_xlfn.IFNA(INDEX('Data manipulation'!$C$23:$O$39,MATCH($V207,'Data manipulation'!$B$23:$B$39,0),MATCH($X207,'Data manipulation'!$C$22:$O$22,0))/1000,0)*SUMIFS('Regional split'!$F$4:$F$6,'Regional split'!$B$4:$B$6,Y$3)*SUMIFS('Data manipulation'!$V$39:$V$42,'Data manipulation'!$X$39:$X$42,$E207,'Data manipulation'!$Y$39:$Y$42,$D207)</f>
        <v>7.2341360000000007E-2</v>
      </c>
      <c r="Z207" s="433">
        <f>_xlfn.IFNA(INDEX('Data manipulation'!$C$23:$O$39,MATCH($V207,'Data manipulation'!$B$23:$B$39,0),MATCH($X207,'Data manipulation'!$C$22:$O$22,0))/1000,0)*SUMIFS('Regional split'!$F$4:$F$6,'Regional split'!$B$4:$B$6,Z$3)*SUMIFS('Data manipulation'!$V$39:$V$42,'Data manipulation'!$X$39:$X$42,$E207,'Data manipulation'!$Y$39:$Y$42,$D207)</f>
        <v>0</v>
      </c>
      <c r="AA207" s="433">
        <f>_xlfn.IFNA(INDEX('Data manipulation'!$C$23:$O$39,MATCH($V207,'Data manipulation'!$B$23:$B$39,0),MATCH($X207,'Data manipulation'!$C$22:$O$22,0))/1000,0)*SUMIFS('Regional split'!$F$4:$F$6,'Regional split'!$B$4:$B$6,AA$3)*SUMIFS('Data manipulation'!$V$39:$V$42,'Data manipulation'!$X$39:$X$42,$E207,'Data manipulation'!$Y$39:$Y$42,$D207)</f>
        <v>0</v>
      </c>
      <c r="AB207" s="444">
        <f t="shared" si="281"/>
        <v>0.16747024840000002</v>
      </c>
      <c r="AC207" s="251">
        <f t="shared" si="282"/>
        <v>0</v>
      </c>
      <c r="AD207" s="445">
        <f t="shared" si="283"/>
        <v>0</v>
      </c>
      <c r="AU207" s="260"/>
      <c r="AZ207" s="252"/>
    </row>
    <row r="208" spans="2:52" ht="15" customHeight="1">
      <c r="B208" s="233" t="str">
        <f t="shared" ref="B208:G208" si="302">B128</f>
        <v>CHTRMHCEE1</v>
      </c>
      <c r="C208" s="233" t="str">
        <f t="shared" si="302"/>
        <v>Residential Heating Technology Rural Multi - District heating Central - Existing 1</v>
      </c>
      <c r="D208" s="233" t="str">
        <f t="shared" si="302"/>
        <v>Rural</v>
      </c>
      <c r="E208" s="233" t="str">
        <f t="shared" si="302"/>
        <v>Multi storey</v>
      </c>
      <c r="F208" s="233" t="str">
        <f t="shared" si="302"/>
        <v>COMHDE</v>
      </c>
      <c r="G208" s="233" t="str">
        <f t="shared" si="302"/>
        <v>COMHRMX</v>
      </c>
      <c r="H208" s="572">
        <f t="shared" si="258"/>
        <v>2048</v>
      </c>
      <c r="I208" s="568">
        <v>0</v>
      </c>
      <c r="J208" s="568">
        <v>0</v>
      </c>
      <c r="K208" s="568">
        <v>0</v>
      </c>
      <c r="L208" s="463">
        <v>0.98</v>
      </c>
      <c r="M208" s="463">
        <v>0.98</v>
      </c>
      <c r="N208" s="463">
        <v>0.98</v>
      </c>
      <c r="O208" s="244">
        <f t="shared" si="286"/>
        <v>3.1536000000000002E-2</v>
      </c>
      <c r="P208" s="459">
        <v>0.15</v>
      </c>
      <c r="Q208" s="245">
        <v>30</v>
      </c>
      <c r="R208" s="227">
        <v>1.05</v>
      </c>
      <c r="T208" s="268">
        <f t="shared" si="269"/>
        <v>0</v>
      </c>
      <c r="U208" s="268"/>
      <c r="V208" s="592" t="str">
        <f>'Data manipulation'!$B$34</f>
        <v>Heat</v>
      </c>
      <c r="W208" s="254" t="s">
        <v>172</v>
      </c>
      <c r="X208" s="246">
        <v>2019</v>
      </c>
      <c r="Y208" s="433">
        <f>_xlfn.IFNA(INDEX('Data manipulation'!$C$23:$O$39,MATCH($V208,'Data manipulation'!$B$23:$B$39,0),MATCH($X208,'Data manipulation'!$C$22:$O$22,0))/1000,0)*SUMIFS('Regional split'!$F$4:$F$6,'Regional split'!$B$4:$B$6,Y$3)*SUMIFS('Data manipulation'!$V$39:$V$42,'Data manipulation'!$X$39:$X$42,$E208,'Data manipulation'!$Y$39:$Y$42,$D208)</f>
        <v>1.0060474472650027</v>
      </c>
      <c r="Z208" s="433">
        <f>_xlfn.IFNA(INDEX('Data manipulation'!$C$23:$O$39,MATCH($V208,'Data manipulation'!$B$23:$B$39,0),MATCH($X208,'Data manipulation'!$C$22:$O$22,0))/1000,0)*SUMIFS('Regional split'!$F$4:$F$6,'Regional split'!$B$4:$B$6,Z$3)*SUMIFS('Data manipulation'!$V$39:$V$42,'Data manipulation'!$X$39:$X$42,$E208,'Data manipulation'!$Y$39:$Y$42,$D208)</f>
        <v>0</v>
      </c>
      <c r="AA208" s="433">
        <f>_xlfn.IFNA(INDEX('Data manipulation'!$C$23:$O$39,MATCH($V208,'Data manipulation'!$B$23:$B$39,0),MATCH($X208,'Data manipulation'!$C$22:$O$22,0))/1000,0)*SUMIFS('Regional split'!$F$4:$F$6,'Regional split'!$B$4:$B$6,AA$3)*SUMIFS('Data manipulation'!$V$39:$V$42,'Data manipulation'!$X$39:$X$42,$E208,'Data manipulation'!$Y$39:$Y$42,$D208)</f>
        <v>0</v>
      </c>
      <c r="AB208" s="444">
        <f t="shared" si="281"/>
        <v>0.98592649831970269</v>
      </c>
      <c r="AC208" s="251">
        <f t="shared" si="282"/>
        <v>0</v>
      </c>
      <c r="AD208" s="445">
        <f t="shared" si="283"/>
        <v>0</v>
      </c>
      <c r="AU208" s="260"/>
      <c r="AZ208" s="252"/>
    </row>
    <row r="209" spans="2:52" ht="15" customHeight="1" thickBot="1">
      <c r="B209" s="233" t="str">
        <f t="shared" ref="B209:G209" si="303">B129</f>
        <v>CHTRMLPGE1</v>
      </c>
      <c r="C209" s="233" t="str">
        <f t="shared" si="303"/>
        <v>Residential Heating Technology Rural Multi - LPG - Existing 1</v>
      </c>
      <c r="D209" s="233" t="str">
        <f t="shared" si="303"/>
        <v>Rural</v>
      </c>
      <c r="E209" s="233" t="str">
        <f t="shared" si="303"/>
        <v>Multi storey</v>
      </c>
      <c r="F209" s="233" t="str">
        <f t="shared" si="303"/>
        <v>COMLPG</v>
      </c>
      <c r="G209" s="233" t="str">
        <f t="shared" si="303"/>
        <v>COMHRMB</v>
      </c>
      <c r="H209" s="572">
        <f t="shared" si="258"/>
        <v>2048</v>
      </c>
      <c r="I209" s="250">
        <v>0</v>
      </c>
      <c r="J209" s="250">
        <v>0</v>
      </c>
      <c r="K209" s="250">
        <v>0</v>
      </c>
      <c r="L209" s="463">
        <v>0.98</v>
      </c>
      <c r="M209" s="463">
        <v>0.98</v>
      </c>
      <c r="N209" s="463">
        <v>0.98</v>
      </c>
      <c r="O209" s="244">
        <f t="shared" si="286"/>
        <v>3.1536000000000002E-2</v>
      </c>
      <c r="P209" s="459">
        <v>0.15</v>
      </c>
      <c r="Q209" s="245">
        <v>30</v>
      </c>
      <c r="R209" s="227">
        <v>1.05</v>
      </c>
      <c r="T209" s="268">
        <f t="shared" si="269"/>
        <v>0</v>
      </c>
      <c r="U209" s="268"/>
      <c r="V209" s="593" t="str">
        <f>'Data manipulation'!$B$25</f>
        <v>Liquefied natural gas</v>
      </c>
      <c r="W209" s="428" t="s">
        <v>771</v>
      </c>
      <c r="X209" s="246">
        <v>2019</v>
      </c>
      <c r="Y209" s="433">
        <f>_xlfn.IFNA(INDEX('Data manipulation'!$C$23:$O$39,MATCH($V209,'Data manipulation'!$B$23:$B$39,0),MATCH($X209,'Data manipulation'!$C$22:$O$22,0))/1000,0)*SUMIFS('Regional split'!$F$4:$F$6,'Regional split'!$B$4:$B$6,Y$3)*SUMIFS('Data manipulation'!$V$39:$V$42,'Data manipulation'!$X$39:$X$42,$E209,'Data manipulation'!$Y$39:$Y$42,$D209)</f>
        <v>0.12590498624705881</v>
      </c>
      <c r="Z209" s="433">
        <f>_xlfn.IFNA(INDEX('Data manipulation'!$C$23:$O$39,MATCH($V209,'Data manipulation'!$B$23:$B$39,0),MATCH($X209,'Data manipulation'!$C$22:$O$22,0))/1000,0)*SUMIFS('Regional split'!$F$4:$F$6,'Regional split'!$B$4:$B$6,Z$3)*SUMIFS('Data manipulation'!$V$39:$V$42,'Data manipulation'!$X$39:$X$42,$E209,'Data manipulation'!$Y$39:$Y$42,$D209)</f>
        <v>0</v>
      </c>
      <c r="AA209" s="433">
        <f>_xlfn.IFNA(INDEX('Data manipulation'!$C$23:$O$39,MATCH($V209,'Data manipulation'!$B$23:$B$39,0),MATCH($X209,'Data manipulation'!$C$22:$O$22,0))/1000,0)*SUMIFS('Regional split'!$F$4:$F$6,'Regional split'!$B$4:$B$6,AA$3)*SUMIFS('Data manipulation'!$V$39:$V$42,'Data manipulation'!$X$39:$X$42,$E209,'Data manipulation'!$Y$39:$Y$42,$D209)</f>
        <v>0</v>
      </c>
      <c r="AB209" s="446">
        <f t="shared" si="281"/>
        <v>0.12338688652211764</v>
      </c>
      <c r="AC209" s="432">
        <f t="shared" si="282"/>
        <v>0</v>
      </c>
      <c r="AD209" s="453">
        <f t="shared" si="283"/>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topLeftCell="A16" zoomScale="70" zoomScaleNormal="70" workbookViewId="0">
      <selection activeCell="F24" sqref="F24"/>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14" width="11.81640625" bestFit="1" customWidth="1"/>
    <col min="15" max="15" width="13.54296875" customWidth="1"/>
    <col min="16" max="16" width="9.1796875" bestFit="1" customWidth="1"/>
    <col min="17" max="17" width="16.26953125" customWidth="1"/>
    <col min="18" max="18" width="10.726562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2" ht="15">
      <c r="B2" s="360" t="s">
        <v>276</v>
      </c>
      <c r="C2" s="300"/>
      <c r="D2" s="300"/>
      <c r="E2" s="300"/>
      <c r="F2" s="300"/>
      <c r="G2" s="300"/>
      <c r="H2" s="300"/>
      <c r="I2" s="300"/>
      <c r="J2" s="300"/>
      <c r="K2" s="300"/>
      <c r="V2" s="360" t="s">
        <v>277</v>
      </c>
    </row>
    <row r="3" spans="2:32" ht="14">
      <c r="B3" s="300"/>
      <c r="C3" s="300"/>
      <c r="D3" s="300"/>
      <c r="E3" s="300"/>
      <c r="F3" s="300"/>
      <c r="G3" s="300"/>
      <c r="H3" s="300"/>
      <c r="I3" s="300"/>
    </row>
    <row r="4" spans="2:32" ht="14">
      <c r="B4" s="300"/>
      <c r="C4" s="300" t="s">
        <v>92</v>
      </c>
      <c r="D4" s="300" t="s">
        <v>270</v>
      </c>
      <c r="E4" s="300" t="s">
        <v>264</v>
      </c>
      <c r="F4" s="300" t="s">
        <v>271</v>
      </c>
      <c r="G4" s="300" t="s">
        <v>272</v>
      </c>
      <c r="H4" s="300" t="s">
        <v>273</v>
      </c>
      <c r="V4" s="132" t="s">
        <v>755</v>
      </c>
    </row>
    <row r="5" spans="2:32" ht="14">
      <c r="B5" s="300" t="s">
        <v>268</v>
      </c>
      <c r="C5" s="358">
        <f>'Energy balance'!N20</f>
        <v>24117.5</v>
      </c>
      <c r="D5" s="358">
        <f>$C5*D10</f>
        <v>0</v>
      </c>
      <c r="E5" s="358">
        <f t="shared" ref="D5:H9" si="0">$C5*E10</f>
        <v>0</v>
      </c>
      <c r="F5" s="358">
        <f t="shared" si="0"/>
        <v>0</v>
      </c>
      <c r="G5" s="358">
        <f>$C5*G10</f>
        <v>23478.625827814569</v>
      </c>
      <c r="H5" s="358">
        <f>$C5*H10</f>
        <v>638.87417218543044</v>
      </c>
      <c r="V5" s="106" t="s">
        <v>215</v>
      </c>
      <c r="W5" s="477">
        <f>Sources!D15</f>
        <v>3393</v>
      </c>
      <c r="X5" s="477">
        <f>Sources!E15</f>
        <v>3410</v>
      </c>
      <c r="Y5" s="477">
        <f>Sources!F15</f>
        <v>3558</v>
      </c>
      <c r="Z5" s="477">
        <f>Sources!G15</f>
        <v>3577</v>
      </c>
      <c r="AA5" s="477">
        <f>Sources!H15</f>
        <v>3598</v>
      </c>
      <c r="AB5" s="477">
        <f>Sources!I15</f>
        <v>3620</v>
      </c>
      <c r="AC5" s="477">
        <f>Sources!J15</f>
        <v>3646</v>
      </c>
      <c r="AD5" s="477">
        <f>Sources!K15</f>
        <v>3670</v>
      </c>
      <c r="AE5" s="477">
        <f>Sources!L15</f>
        <v>3698</v>
      </c>
      <c r="AF5" s="477">
        <f>Sources!M15</f>
        <v>3725</v>
      </c>
    </row>
    <row r="6" spans="2:32" ht="14">
      <c r="B6" s="300" t="s">
        <v>74</v>
      </c>
      <c r="C6" s="358">
        <f>'Energy balance'!N18+'Energy balance'!N8</f>
        <v>119609.5</v>
      </c>
      <c r="D6" s="358">
        <f>$C6*D11</f>
        <v>83726.649999999994</v>
      </c>
      <c r="E6" s="358">
        <f t="shared" si="0"/>
        <v>10472.984928229665</v>
      </c>
      <c r="F6" s="358">
        <f t="shared" si="0"/>
        <v>25409.865071770331</v>
      </c>
      <c r="G6" s="358">
        <f t="shared" si="0"/>
        <v>0</v>
      </c>
      <c r="H6" s="358">
        <f t="shared" si="0"/>
        <v>0</v>
      </c>
    </row>
    <row r="7" spans="2:32" ht="14">
      <c r="B7" s="300" t="s">
        <v>201</v>
      </c>
      <c r="C7" s="358">
        <f>'Energy balance'!N21</f>
        <v>470.8</v>
      </c>
      <c r="D7" s="358">
        <f t="shared" si="0"/>
        <v>470.8</v>
      </c>
      <c r="E7" s="358">
        <f t="shared" si="0"/>
        <v>0</v>
      </c>
      <c r="F7" s="358">
        <f t="shared" si="0"/>
        <v>0</v>
      </c>
      <c r="G7" s="358">
        <f t="shared" si="0"/>
        <v>0</v>
      </c>
      <c r="H7" s="358">
        <f t="shared" si="0"/>
        <v>0</v>
      </c>
    </row>
    <row r="8" spans="2:32" ht="14">
      <c r="B8" s="300" t="s">
        <v>269</v>
      </c>
      <c r="C8" s="358">
        <f>'Energy balance'!N12+'Energy balance'!N11+'Energy balance'!N9</f>
        <v>371.4</v>
      </c>
      <c r="D8" s="358">
        <f>$C8*D13</f>
        <v>371.4</v>
      </c>
      <c r="E8" s="358">
        <f t="shared" si="0"/>
        <v>0</v>
      </c>
      <c r="F8" s="358">
        <f t="shared" si="0"/>
        <v>0</v>
      </c>
      <c r="G8" s="358">
        <f t="shared" si="0"/>
        <v>0</v>
      </c>
      <c r="H8" s="358">
        <f t="shared" si="0"/>
        <v>0</v>
      </c>
    </row>
    <row r="9" spans="2:32" ht="14">
      <c r="B9" s="300" t="s">
        <v>200</v>
      </c>
      <c r="C9" s="358">
        <f>'Energy balance'!N19</f>
        <v>5051.2</v>
      </c>
      <c r="D9" s="358">
        <f t="shared" si="0"/>
        <v>5051.2</v>
      </c>
      <c r="E9" s="358">
        <f t="shared" si="0"/>
        <v>0</v>
      </c>
      <c r="F9" s="358">
        <f t="shared" si="0"/>
        <v>0</v>
      </c>
      <c r="G9" s="358">
        <f t="shared" si="0"/>
        <v>0</v>
      </c>
      <c r="H9" s="358">
        <f t="shared" si="0"/>
        <v>0</v>
      </c>
      <c r="V9" s="421" t="s">
        <v>719</v>
      </c>
      <c r="W9" s="421"/>
      <c r="X9" s="421"/>
    </row>
    <row r="10" spans="2:32" ht="14">
      <c r="B10" s="300"/>
      <c r="C10" s="358"/>
      <c r="D10" s="359">
        <v>0</v>
      </c>
      <c r="E10" s="359">
        <v>0</v>
      </c>
      <c r="F10" s="359">
        <v>0</v>
      </c>
      <c r="G10" s="359">
        <f>1-H10-SUM(D10:F10)</f>
        <v>0.97350993377483441</v>
      </c>
      <c r="H10" s="359">
        <f>Sources!B95/SUM(Sources!B91:B92)</f>
        <v>2.6490066225165563E-2</v>
      </c>
      <c r="V10" s="207" t="s">
        <v>722</v>
      </c>
      <c r="W10" s="300" t="s">
        <v>714</v>
      </c>
      <c r="X10" s="300" t="s">
        <v>715</v>
      </c>
      <c r="AD10" s="106" t="s">
        <v>718</v>
      </c>
      <c r="AE10" s="106" t="s">
        <v>714</v>
      </c>
      <c r="AF10" s="106" t="s">
        <v>715</v>
      </c>
    </row>
    <row r="11" spans="2:32" ht="14">
      <c r="B11" s="300"/>
      <c r="C11" s="358"/>
      <c r="D11" s="359">
        <v>0.7</v>
      </c>
      <c r="E11" s="359">
        <f>0.3*Sources!B93/SUM(Sources!B93:B94)</f>
        <v>8.7559808612440199E-2</v>
      </c>
      <c r="F11" s="359">
        <f>0.3*Sources!B94/SUM(Sources!B93:B94)</f>
        <v>0.21244019138755979</v>
      </c>
      <c r="G11" s="359">
        <v>0</v>
      </c>
      <c r="H11" s="359">
        <v>0</v>
      </c>
      <c r="V11" t="s">
        <v>720</v>
      </c>
      <c r="W11" s="420">
        <f>SUM(Sources!D65:D66)/100</f>
        <v>0.44900000000000001</v>
      </c>
      <c r="X11" s="420">
        <f>SUM(Sources!E65:E66)/100</f>
        <v>0.95100000000000007</v>
      </c>
      <c r="AC11" s="106" t="s">
        <v>956</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8"/>
      <c r="D12" s="359">
        <v>1</v>
      </c>
      <c r="E12" s="359">
        <v>0</v>
      </c>
      <c r="F12" s="359">
        <v>0</v>
      </c>
      <c r="G12" s="359">
        <v>0</v>
      </c>
      <c r="H12" s="359">
        <v>0</v>
      </c>
      <c r="V12" t="s">
        <v>721</v>
      </c>
      <c r="W12" s="420">
        <f>SUM(Sources!D67:D69)/100</f>
        <v>0.55100000000000005</v>
      </c>
      <c r="X12" s="420">
        <f>SUM(Sources!E67:E69)/100</f>
        <v>4.8999999999999995E-2</v>
      </c>
      <c r="AC12" s="106" t="s">
        <v>969</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8"/>
      <c r="D13" s="359">
        <v>1</v>
      </c>
      <c r="E13" s="359">
        <v>0</v>
      </c>
      <c r="F13" s="359">
        <v>0</v>
      </c>
      <c r="G13" s="359">
        <v>0</v>
      </c>
      <c r="H13" s="359">
        <v>0</v>
      </c>
      <c r="AC13" s="106" t="s">
        <v>972</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8"/>
      <c r="D14" s="359">
        <v>1</v>
      </c>
      <c r="E14" s="359">
        <v>0</v>
      </c>
      <c r="F14" s="359">
        <v>0</v>
      </c>
      <c r="G14" s="359">
        <v>0</v>
      </c>
      <c r="H14" s="359">
        <v>0</v>
      </c>
      <c r="V14" s="132" t="s">
        <v>723</v>
      </c>
      <c r="W14" t="s">
        <v>714</v>
      </c>
      <c r="X14" t="s">
        <v>715</v>
      </c>
    </row>
    <row r="15" spans="2:32" ht="14">
      <c r="B15" s="300" t="s">
        <v>274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956</v>
      </c>
      <c r="W15" s="9">
        <f>'Regional split'!C4*AE11/AD11</f>
        <v>0.56625944775059112</v>
      </c>
      <c r="X15" s="9">
        <f>'Regional split'!C4*AF11/AD11</f>
        <v>0.43374055224940905</v>
      </c>
    </row>
    <row r="16" spans="2:32">
      <c r="V16" t="s">
        <v>969</v>
      </c>
      <c r="W16" s="9">
        <f>'Regional split'!C5*AE12/AD12</f>
        <v>0</v>
      </c>
      <c r="X16" s="9">
        <f>'Regional split'!C5*AF12/AD12</f>
        <v>0</v>
      </c>
    </row>
    <row r="17" spans="1:36">
      <c r="V17" t="s">
        <v>972</v>
      </c>
      <c r="W17" s="9">
        <f>'Regional split'!C6*AE13/AD13</f>
        <v>0</v>
      </c>
      <c r="X17" s="9">
        <f>'Regional split'!C6*AF13/AD13</f>
        <v>0</v>
      </c>
    </row>
    <row r="19" spans="1:36">
      <c r="F19" s="600"/>
      <c r="G19" s="600"/>
      <c r="H19" s="600"/>
      <c r="I19" s="600"/>
      <c r="J19" s="600"/>
      <c r="K19" s="600"/>
      <c r="L19" s="600"/>
      <c r="M19" s="600"/>
      <c r="N19" s="600"/>
      <c r="O19" s="600"/>
      <c r="V19" s="106" t="s">
        <v>724</v>
      </c>
      <c r="Y19" s="127"/>
      <c r="Z19" s="127"/>
    </row>
    <row r="20" spans="1:36">
      <c r="F20" s="600"/>
      <c r="G20" s="600"/>
      <c r="H20" s="600"/>
      <c r="I20" s="600"/>
      <c r="J20" s="600"/>
      <c r="K20" s="600"/>
      <c r="L20" s="600"/>
      <c r="M20" s="600"/>
      <c r="N20" s="600"/>
      <c r="O20" s="600"/>
      <c r="X20" t="s">
        <v>956</v>
      </c>
      <c r="Y20" t="s">
        <v>969</v>
      </c>
      <c r="Z20" t="s">
        <v>972</v>
      </c>
    </row>
    <row r="21" spans="1:36" ht="16" thickBot="1">
      <c r="B21" s="357" t="s">
        <v>988</v>
      </c>
      <c r="V21" s="106" t="s">
        <v>714</v>
      </c>
      <c r="W21" s="106" t="s">
        <v>720</v>
      </c>
      <c r="X21" s="477">
        <f t="shared" ref="X21:Z21" si="1">INDEX($W$15:$X$17,MATCH(X$20,$V$15:$V$17,0),MATCH($V21,$W$14:$X$14,0))*INDEX($W$11:$X$12,MATCH($W21,$V$11:$V$12,0),MATCH($V21,$W$10:$X$10,0))</f>
        <v>0.25425049204001543</v>
      </c>
      <c r="Y21" s="477">
        <f t="shared" si="1"/>
        <v>0</v>
      </c>
      <c r="Z21" s="477">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986</v>
      </c>
      <c r="Q22" s="1"/>
      <c r="V22" s="127" t="s">
        <v>715</v>
      </c>
      <c r="W22" s="106" t="s">
        <v>720</v>
      </c>
      <c r="X22" s="477">
        <f t="shared" ref="X22:Z24" si="2">INDEX($W$15:$X$17,MATCH(X$20,$V$15:$V$17,0),MATCH($V22,$W$14:$X$14,0))*INDEX($W$11:$X$12,MATCH($W22,$V$11:$V$12,0),MATCH($V22,$W$10:$X$10,0))</f>
        <v>0.41248726518918805</v>
      </c>
      <c r="Y22" s="477">
        <f t="shared" si="2"/>
        <v>0</v>
      </c>
      <c r="Z22" s="477">
        <f t="shared" si="2"/>
        <v>0</v>
      </c>
      <c r="AC22" s="106"/>
      <c r="AD22" s="106"/>
    </row>
    <row r="23" spans="1:36" ht="14">
      <c r="A23" s="106" t="s">
        <v>739</v>
      </c>
      <c r="B23" s="594" t="s">
        <v>839</v>
      </c>
      <c r="C23" s="478">
        <f>IFERROR('Energy balance'!C5*'Data manipulation'!$Q23,0)</f>
        <v>0</v>
      </c>
      <c r="D23" s="478">
        <f>IFERROR('Energy balance'!D5*'Data manipulation'!$Q23,0)</f>
        <v>0</v>
      </c>
      <c r="E23" s="478">
        <f>IFERROR('Energy balance'!E5*'Data manipulation'!$Q23,0)</f>
        <v>0</v>
      </c>
      <c r="F23" s="591">
        <f>IFERROR(#REF!,0)</f>
        <v>0</v>
      </c>
      <c r="G23" s="591">
        <f>IFERROR(Raw_Data!C10,0)*$P23</f>
        <v>4046.067</v>
      </c>
      <c r="H23" s="591">
        <f>IFERROR(Raw_Data!D10,0)*$P23</f>
        <v>4315.299</v>
      </c>
      <c r="I23" s="591">
        <f>IFERROR(Raw_Data!E10,0)*$P23</f>
        <v>1912.432</v>
      </c>
      <c r="J23" s="591">
        <f>IFERROR(Raw_Data!F10,0)*$P23</f>
        <v>2233.6880000000001</v>
      </c>
      <c r="K23" s="591">
        <f>IFERROR(Raw_Data!G10,0)*$P23</f>
        <v>7701.82</v>
      </c>
      <c r="L23" s="591">
        <f>IFERROR(Raw_Data!H10,0)*$P23</f>
        <v>1147.6759999999999</v>
      </c>
      <c r="M23" s="591">
        <f>IFERROR(Raw_Data!I10,0)*$P23</f>
        <v>765.21400000000006</v>
      </c>
      <c r="N23" s="591">
        <f>IFERROR(Raw_Data!J10,0)*$P23</f>
        <v>875.53099999999995</v>
      </c>
      <c r="O23" s="591">
        <f>IFERROR(Raw_Data!K10,0)*$Q23</f>
        <v>76.988</v>
      </c>
      <c r="P23">
        <v>1</v>
      </c>
      <c r="Q23" s="692">
        <f>P23+P44+P66+P88+P110</f>
        <v>1</v>
      </c>
      <c r="R23" s="1"/>
      <c r="S23" s="688"/>
      <c r="V23" s="106" t="s">
        <v>714</v>
      </c>
      <c r="W23" s="106" t="s">
        <v>721</v>
      </c>
      <c r="X23" s="477">
        <f t="shared" si="2"/>
        <v>0.31200895571057574</v>
      </c>
      <c r="Y23" s="477">
        <f t="shared" si="2"/>
        <v>0</v>
      </c>
      <c r="Z23" s="477">
        <f t="shared" si="2"/>
        <v>0</v>
      </c>
    </row>
    <row r="24" spans="1:36" ht="14">
      <c r="A24" s="106" t="s">
        <v>739</v>
      </c>
      <c r="B24" s="594" t="s">
        <v>74</v>
      </c>
      <c r="C24" s="479">
        <f>IFERROR('Energy balance'!C6*'Data manipulation'!$Q24,0)</f>
        <v>0</v>
      </c>
      <c r="D24" s="479">
        <f>IFERROR('Energy balance'!D6*'Data manipulation'!$Q24,0)</f>
        <v>0</v>
      </c>
      <c r="E24" s="479">
        <f>IFERROR('Energy balance'!E6*'Data manipulation'!$Q24,0)</f>
        <v>0</v>
      </c>
      <c r="F24" s="591">
        <f>IFERROR(#REF!,0)</f>
        <v>0</v>
      </c>
      <c r="G24" s="591">
        <f>IFERROR(Raw_Data!C29,0)*$P24</f>
        <v>264317.64801129571</v>
      </c>
      <c r="H24" s="591">
        <f>IFERROR(Raw_Data!D29,0)*$P24</f>
        <v>271814.34801000333</v>
      </c>
      <c r="I24" s="591">
        <f>IFERROR(Raw_Data!E29,0)*$P24</f>
        <v>325699.88091850164</v>
      </c>
      <c r="J24" s="591">
        <f>IFERROR(Raw_Data!F29,0)*$P24</f>
        <v>297875.54484860739</v>
      </c>
      <c r="K24" s="591">
        <f>IFERROR(Raw_Data!G29,0)*$P24</f>
        <v>315412.68645705376</v>
      </c>
      <c r="L24" s="591">
        <f>IFERROR(Raw_Data!H29,0)*$P24</f>
        <v>313202.12771901372</v>
      </c>
      <c r="M24" s="591">
        <f>IFERROR(Raw_Data!I29,0)*$P24</f>
        <v>314075.50703473773</v>
      </c>
      <c r="N24" s="591">
        <f>IFERROR(Raw_Data!J29,0)*$P24</f>
        <v>351226.96981058514</v>
      </c>
      <c r="O24" s="591">
        <f>IFERROR(Raw_Data!K29,0)*$P24</f>
        <v>310418.1336558953</v>
      </c>
      <c r="P24">
        <v>0.78308632957832913</v>
      </c>
      <c r="Q24" s="692">
        <f t="shared" ref="Q24:Q39" si="3">P24+P45+P67+P89+P111</f>
        <v>1</v>
      </c>
      <c r="R24" s="1"/>
      <c r="S24" s="689"/>
      <c r="V24" s="127" t="s">
        <v>715</v>
      </c>
      <c r="W24" s="106" t="s">
        <v>721</v>
      </c>
      <c r="X24" s="477">
        <f t="shared" si="2"/>
        <v>2.1253287060221043E-2</v>
      </c>
      <c r="Y24" s="477">
        <f t="shared" si="2"/>
        <v>0</v>
      </c>
      <c r="Z24" s="477">
        <f t="shared" si="2"/>
        <v>0</v>
      </c>
    </row>
    <row r="25" spans="1:36" ht="14">
      <c r="A25" s="106" t="s">
        <v>739</v>
      </c>
      <c r="B25" s="594" t="s">
        <v>838</v>
      </c>
      <c r="C25" s="479">
        <f>IFERROR('Energy balance'!C7*'Data manipulation'!$Q25,0)</f>
        <v>0</v>
      </c>
      <c r="D25" s="479">
        <f>IFERROR('Energy balance'!D7*'Data manipulation'!$Q25,0)</f>
        <v>0</v>
      </c>
      <c r="E25" s="479">
        <f>IFERROR('Energy balance'!E7*'Data manipulation'!$Q25,0)</f>
        <v>0</v>
      </c>
      <c r="F25" s="591">
        <f>IFERROR(#REF!,0)</f>
        <v>0</v>
      </c>
      <c r="G25" s="591">
        <f>IFERROR(Raw_Data!C31,0)*$P25</f>
        <v>13028.373296042379</v>
      </c>
      <c r="H25" s="591">
        <f>IFERROR(Raw_Data!D31,0)*$P25</f>
        <v>13654.361202158529</v>
      </c>
      <c r="I25" s="591">
        <f>IFERROR(Raw_Data!E31,0)*$P25</f>
        <v>16471.306779681203</v>
      </c>
      <c r="J25" s="591">
        <f>IFERROR(Raw_Data!F31,0)*$P25</f>
        <v>14186.056883566449</v>
      </c>
      <c r="K25" s="591">
        <f>IFERROR(Raw_Data!G31,0)*$P25</f>
        <v>11914.738587581425</v>
      </c>
      <c r="L25" s="591">
        <f>IFERROR(Raw_Data!H31,0)*$P25</f>
        <v>14973.870129411764</v>
      </c>
      <c r="M25" s="591">
        <f>IFERROR(Raw_Data!I31,0)*$P25</f>
        <v>9811.729082352942</v>
      </c>
      <c r="N25" s="591">
        <f>IFERROR(Raw_Data!J31,0)*$P25</f>
        <v>6223.8580000000002</v>
      </c>
      <c r="O25" s="591">
        <f>IFERROR(Raw_Data!K31,0)*$P25</f>
        <v>6626.5782235294118</v>
      </c>
      <c r="P25">
        <v>0.84995425109729084</v>
      </c>
      <c r="Q25" s="692">
        <f t="shared" si="3"/>
        <v>1</v>
      </c>
      <c r="R25" s="1"/>
      <c r="S25" s="689"/>
    </row>
    <row r="26" spans="1:36" ht="14">
      <c r="A26" s="106" t="s">
        <v>739</v>
      </c>
      <c r="B26" s="594" t="s">
        <v>837</v>
      </c>
      <c r="C26" s="480">
        <v>0</v>
      </c>
      <c r="D26" s="480">
        <v>0</v>
      </c>
      <c r="E26" s="480">
        <v>0</v>
      </c>
      <c r="F26" s="591">
        <f>IFERROR(#REF!,0)</f>
        <v>0</v>
      </c>
      <c r="G26" s="591">
        <v>0</v>
      </c>
      <c r="H26" s="591">
        <v>0</v>
      </c>
      <c r="I26" s="591">
        <v>0</v>
      </c>
      <c r="J26" s="591">
        <v>0</v>
      </c>
      <c r="K26" s="591">
        <v>0</v>
      </c>
      <c r="L26" s="591">
        <v>0</v>
      </c>
      <c r="M26" s="591">
        <v>0</v>
      </c>
      <c r="N26" s="591">
        <v>0</v>
      </c>
      <c r="O26" s="591">
        <v>0</v>
      </c>
      <c r="P26">
        <v>0.84217325936770249</v>
      </c>
      <c r="Q26" s="692">
        <f t="shared" si="3"/>
        <v>1</v>
      </c>
      <c r="R26" s="1"/>
      <c r="S26" s="689"/>
      <c r="V26" s="187"/>
      <c r="W26" s="187"/>
      <c r="X26" s="187"/>
      <c r="Y26" s="187"/>
      <c r="Z26" s="187"/>
      <c r="AA26" s="187"/>
      <c r="AB26" s="187"/>
      <c r="AC26" s="187"/>
      <c r="AD26" s="187"/>
      <c r="AE26" s="187"/>
      <c r="AF26" s="187"/>
      <c r="AG26" s="187"/>
      <c r="AH26" s="187"/>
      <c r="AI26" s="187"/>
      <c r="AJ26" s="187"/>
    </row>
    <row r="27" spans="1:36" ht="14">
      <c r="A27" s="106" t="s">
        <v>739</v>
      </c>
      <c r="B27" s="594" t="s">
        <v>193</v>
      </c>
      <c r="C27" s="480">
        <v>0</v>
      </c>
      <c r="D27" s="480">
        <v>0</v>
      </c>
      <c r="E27" s="480">
        <v>0</v>
      </c>
      <c r="F27" s="601">
        <v>0</v>
      </c>
      <c r="G27" s="591">
        <v>0</v>
      </c>
      <c r="H27" s="591">
        <v>0</v>
      </c>
      <c r="I27" s="591">
        <v>0</v>
      </c>
      <c r="J27" s="591">
        <v>0</v>
      </c>
      <c r="K27" s="591">
        <v>0</v>
      </c>
      <c r="L27" s="591">
        <v>0</v>
      </c>
      <c r="M27" s="591">
        <v>0</v>
      </c>
      <c r="N27" s="591">
        <v>0</v>
      </c>
      <c r="O27" s="591">
        <v>0</v>
      </c>
      <c r="P27">
        <v>0</v>
      </c>
      <c r="Q27" s="692">
        <f t="shared" si="3"/>
        <v>1</v>
      </c>
      <c r="R27" s="1"/>
      <c r="S27" s="689"/>
      <c r="V27" s="106" t="s">
        <v>733</v>
      </c>
    </row>
    <row r="28" spans="1:36" ht="14">
      <c r="A28" s="106" t="s">
        <v>739</v>
      </c>
      <c r="B28" s="694" t="s">
        <v>989</v>
      </c>
      <c r="C28" s="480">
        <f>IFERROR('Energy balance'!C10*'Data manipulation'!$Q28,0)</f>
        <v>0</v>
      </c>
      <c r="D28" s="480">
        <f>IFERROR('Energy balance'!D10*'Data manipulation'!$Q28,0)</f>
        <v>0</v>
      </c>
      <c r="E28" s="480">
        <f>IFERROR('Energy balance'!E10*'Data manipulation'!$Q28,0)</f>
        <v>0</v>
      </c>
      <c r="F28" s="591">
        <f>IFERROR(#REF!,0)</f>
        <v>0</v>
      </c>
      <c r="G28" s="591">
        <f>SUM(Raw_Data!C32:C33)*$P28+G39</f>
        <v>242497.0179701077</v>
      </c>
      <c r="H28" s="591">
        <f>SUM(Raw_Data!D32:D33)*$P28+H39</f>
        <v>253980.08956315444</v>
      </c>
      <c r="I28" s="591">
        <f>SUM(Raw_Data!E32:E33)*$P28+I39</f>
        <v>268397.67290879716</v>
      </c>
      <c r="J28" s="591">
        <f>SUM(Raw_Data!F32:F33)*$P28+J39</f>
        <v>247409.67648378242</v>
      </c>
      <c r="K28" s="591">
        <f>SUM(Raw_Data!G32:G33)*$P28+K39</f>
        <v>243390.83988106015</v>
      </c>
      <c r="L28" s="591">
        <f>SUM(Raw_Data!H32:H33)*$P28+L39</f>
        <v>241674.38063107786</v>
      </c>
      <c r="M28" s="591">
        <f>SUM(Raw_Data!I32:I33)*$P28+M39</f>
        <v>244759.8758203208</v>
      </c>
      <c r="N28" s="591">
        <f>SUM(Raw_Data!J32:J33)*$P28+N39</f>
        <v>110108.9793837274</v>
      </c>
      <c r="O28" s="591">
        <f>SUM(Raw_Data!K32:K33)*$P28+O39</f>
        <v>113416.61538298365</v>
      </c>
      <c r="P28">
        <v>0.84995488916768336</v>
      </c>
      <c r="Q28" s="692">
        <f t="shared" si="3"/>
        <v>1</v>
      </c>
      <c r="R28" s="1"/>
      <c r="S28" s="689"/>
    </row>
    <row r="29" spans="1:36" ht="14">
      <c r="A29" s="106" t="s">
        <v>739</v>
      </c>
      <c r="B29" s="594" t="s">
        <v>834</v>
      </c>
      <c r="C29" s="480">
        <v>0</v>
      </c>
      <c r="D29" s="480">
        <v>0</v>
      </c>
      <c r="E29" s="480">
        <v>0</v>
      </c>
      <c r="F29" s="591">
        <f>IFERROR(#REF!,0)</f>
        <v>0</v>
      </c>
      <c r="G29" s="591">
        <f>IFERROR(Raw_Data!C36,0)*$P29</f>
        <v>149.864</v>
      </c>
      <c r="H29" s="591">
        <f>IFERROR(Raw_Data!D36,0)*$P29</f>
        <v>149.471</v>
      </c>
      <c r="I29" s="591">
        <f>IFERROR(Raw_Data!E36,0)*$P29</f>
        <v>145.672</v>
      </c>
      <c r="J29" s="591">
        <f>IFERROR(Raw_Data!F36,0)*$P29</f>
        <v>152.09100000000001</v>
      </c>
      <c r="K29" s="591">
        <f>IFERROR(Raw_Data!G36,0)*$P29</f>
        <v>158.64100000000002</v>
      </c>
      <c r="L29" s="591">
        <f>IFERROR(Raw_Data!H36,0)*$P29</f>
        <v>155.75900000000001</v>
      </c>
      <c r="M29" s="591">
        <f>IFERROR(Raw_Data!I36,0)*$P29</f>
        <v>156.54500000000002</v>
      </c>
      <c r="N29" s="591">
        <f>IFERROR(Raw_Data!J36,0)*$P29</f>
        <v>174.88500000000002</v>
      </c>
      <c r="O29" s="591">
        <f>IFERROR(Raw_Data!K36,0)*$P29</f>
        <v>165.584</v>
      </c>
      <c r="P29">
        <v>0.13100000000000001</v>
      </c>
      <c r="Q29" s="692">
        <f t="shared" si="3"/>
        <v>1</v>
      </c>
      <c r="R29" s="1"/>
      <c r="S29" s="690"/>
      <c r="U29" s="196"/>
      <c r="V29" s="169">
        <v>1.94169475643413</v>
      </c>
      <c r="W29" s="466" t="s">
        <v>731</v>
      </c>
    </row>
    <row r="30" spans="1:36" ht="14">
      <c r="A30" s="106" t="s">
        <v>739</v>
      </c>
      <c r="B30" s="594" t="s">
        <v>833</v>
      </c>
      <c r="C30" s="479">
        <f>IFERROR('Energy balance'!C13*'Data manipulation'!$Q30,0)</f>
        <v>0</v>
      </c>
      <c r="D30" s="479">
        <f>IFERROR('Energy balance'!D13*'Data manipulation'!$Q30,0)</f>
        <v>0</v>
      </c>
      <c r="E30" s="479">
        <f>IFERROR('Energy balance'!E13*'Data manipulation'!$Q30,0)</f>
        <v>0</v>
      </c>
      <c r="F30" s="591">
        <f>IFERROR(#REF!,0)</f>
        <v>0</v>
      </c>
      <c r="G30" s="591">
        <f>IFERROR(Raw_Data!C37,0)*$P30</f>
        <v>1469.65</v>
      </c>
      <c r="H30" s="591">
        <f>IFERROR(Raw_Data!D37,0)*$P30</f>
        <v>1643.46</v>
      </c>
      <c r="I30" s="591">
        <f>IFERROR(Raw_Data!E37,0)*$P30</f>
        <v>1819.0900000000001</v>
      </c>
      <c r="J30" s="591">
        <f>IFERROR(Raw_Data!F37,0)*$P30</f>
        <v>2022.02</v>
      </c>
      <c r="K30" s="591">
        <f>IFERROR(Raw_Data!G37,0)*$P30</f>
        <v>2234.96</v>
      </c>
      <c r="L30" s="591">
        <f>IFERROR(Raw_Data!H37,0)*$P30</f>
        <v>2556.19</v>
      </c>
      <c r="M30" s="591">
        <f>IFERROR(Raw_Data!I37,0)*$P30</f>
        <v>2942.94</v>
      </c>
      <c r="N30" s="591">
        <f>IFERROR(Raw_Data!J37,0)*$P30</f>
        <v>3331.51</v>
      </c>
      <c r="O30" s="591">
        <f>IFERROR(Raw_Data!K37,0)*$P30</f>
        <v>3807.44</v>
      </c>
      <c r="P30">
        <v>0.91</v>
      </c>
      <c r="Q30" s="692">
        <f t="shared" si="3"/>
        <v>1</v>
      </c>
      <c r="R30" s="1"/>
      <c r="S30" s="690"/>
      <c r="V30" s="169">
        <v>2.3104234107113255</v>
      </c>
      <c r="W30" s="191" t="s">
        <v>732</v>
      </c>
    </row>
    <row r="31" spans="1:36" ht="14">
      <c r="A31" s="106" t="s">
        <v>739</v>
      </c>
      <c r="B31" s="594" t="s">
        <v>832</v>
      </c>
      <c r="C31" s="479">
        <f>IFERROR('Energy balance'!C14*'Data manipulation'!$Q31,0)</f>
        <v>0</v>
      </c>
      <c r="D31" s="479">
        <f>IFERROR('Energy balance'!D14*'Data manipulation'!$Q31,0)</f>
        <v>0</v>
      </c>
      <c r="E31" s="479">
        <f>IFERROR('Energy balance'!E14*'Data manipulation'!$Q31,0)</f>
        <v>0</v>
      </c>
      <c r="F31" s="591">
        <f>IFERROR(#REF!,0)</f>
        <v>0</v>
      </c>
      <c r="G31" s="591">
        <f>(Raw_Data!C38+Raw_Data!C39)*$P31</f>
        <v>45256.02367030883</v>
      </c>
      <c r="H31" s="591">
        <f>(Raw_Data!D38+Raw_Data!D39)*$P31</f>
        <v>49705.542137721262</v>
      </c>
      <c r="I31" s="591">
        <f>(Raw_Data!E38+Raw_Data!E39)*$P31</f>
        <v>53065.045833202683</v>
      </c>
      <c r="J31" s="591">
        <f>(Raw_Data!F38+Raw_Data!F39)*$P31</f>
        <v>41862.647005819206</v>
      </c>
      <c r="K31" s="591">
        <f>(Raw_Data!G38+Raw_Data!G39)*$P31</f>
        <v>48038.818354983719</v>
      </c>
      <c r="L31" s="591">
        <f>(Raw_Data!H38+Raw_Data!H39)*$P31</f>
        <v>46335.615990237326</v>
      </c>
      <c r="M31" s="591">
        <f>(Raw_Data!I38+Raw_Data!I39)*$P31</f>
        <v>48244.66178203364</v>
      </c>
      <c r="N31" s="591">
        <f>(Raw_Data!J38+Raw_Data!J39)*$P31</f>
        <v>53884.076853067978</v>
      </c>
      <c r="O31" s="591">
        <f>(Raw_Data!K38+Raw_Data!K39)*$P31</f>
        <v>55877.37079855139</v>
      </c>
      <c r="P31">
        <v>0.8685376668773046</v>
      </c>
      <c r="Q31" s="692">
        <f t="shared" si="3"/>
        <v>0.99999999999999989</v>
      </c>
      <c r="R31" s="1"/>
      <c r="S31" s="689"/>
    </row>
    <row r="32" spans="1:36" ht="14">
      <c r="A32" s="106" t="s">
        <v>739</v>
      </c>
      <c r="B32" s="594" t="s">
        <v>831</v>
      </c>
      <c r="C32" s="479">
        <f>IFERROR('Energy balance'!C15*'Data manipulation'!$Q32,0)</f>
        <v>0</v>
      </c>
      <c r="D32" s="479">
        <f>IFERROR('Energy balance'!D15*'Data manipulation'!$Q32,0)</f>
        <v>0</v>
      </c>
      <c r="E32" s="479">
        <f>IFERROR('Energy balance'!E15*'Data manipulation'!$Q32,0)</f>
        <v>0</v>
      </c>
      <c r="F32" s="591">
        <f>IFERROR(#REF!,0)</f>
        <v>0</v>
      </c>
      <c r="G32" s="591">
        <f>IFERROR(Raw_Data!C42,0)*$P32</f>
        <v>10230.505064858893</v>
      </c>
      <c r="H32" s="591">
        <f>IFERROR(Raw_Data!D42,0)*$P32</f>
        <v>11373.500621812311</v>
      </c>
      <c r="I32" s="591">
        <f>IFERROR(Raw_Data!E42,0)*$P32</f>
        <v>11548.076690921456</v>
      </c>
      <c r="J32" s="591">
        <f>IFERROR(Raw_Data!F42,0)*$P32</f>
        <v>12638.091450782049</v>
      </c>
      <c r="K32" s="591">
        <f>IFERROR(Raw_Data!G42,0)*$P32</f>
        <v>13621.276078799729</v>
      </c>
      <c r="L32" s="591">
        <f>IFERROR(Raw_Data!H42,0)*$P32</f>
        <v>14239.674890768447</v>
      </c>
      <c r="M32" s="591">
        <f>IFERROR(Raw_Data!I42,0)*$P32</f>
        <v>14583.615803043183</v>
      </c>
      <c r="N32" s="591">
        <f>IFERROR(Raw_Data!J42,0)*$P32</f>
        <v>14997.908265555934</v>
      </c>
      <c r="O32" s="591">
        <f>IFERROR(Raw_Data!K42,0)*$P32</f>
        <v>14639.202213107788</v>
      </c>
      <c r="P32">
        <v>0.86853765725943566</v>
      </c>
      <c r="Q32" s="692">
        <f t="shared" si="3"/>
        <v>1</v>
      </c>
      <c r="R32" s="1"/>
      <c r="S32" s="689"/>
      <c r="V32" s="9">
        <f>SUM(Dem!F41:H44)</f>
        <v>3558.0000000000009</v>
      </c>
      <c r="W32" s="106" t="s">
        <v>735</v>
      </c>
    </row>
    <row r="33" spans="1:25" ht="14">
      <c r="A33" s="106" t="s">
        <v>739</v>
      </c>
      <c r="B33" s="594" t="s">
        <v>73</v>
      </c>
      <c r="C33" s="479">
        <f>IFERROR('Energy balance'!C16*'Data manipulation'!$Q33,0)</f>
        <v>0</v>
      </c>
      <c r="D33" s="479">
        <f>IFERROR('Energy balance'!D16*'Data manipulation'!$Q33,0)</f>
        <v>0</v>
      </c>
      <c r="E33" s="479">
        <f>IFERROR('Energy balance'!E16*'Data manipulation'!$Q33,0)</f>
        <v>0</v>
      </c>
      <c r="F33" s="591">
        <f>IFERROR(#REF!,0)</f>
        <v>0</v>
      </c>
      <c r="G33" s="591">
        <f>IFERROR(Raw_Data!C46,0)*$P33</f>
        <v>28935.18847047849</v>
      </c>
      <c r="H33" s="591">
        <f>IFERROR(Raw_Data!D46,0)*$P33</f>
        <v>29551.652803070378</v>
      </c>
      <c r="I33" s="591">
        <f>IFERROR(Raw_Data!E46,0)*$P33</f>
        <v>30157.078518136514</v>
      </c>
      <c r="J33" s="591">
        <f>IFERROR(Raw_Data!F46,0)*$P33</f>
        <v>27918.149690365641</v>
      </c>
      <c r="K33" s="591">
        <f>IFERROR(Raw_Data!G46,0)*$P33</f>
        <v>29875.593771229887</v>
      </c>
      <c r="L33" s="591">
        <f>IFERROR(Raw_Data!H46,0)*$P33</f>
        <v>30055.820430448384</v>
      </c>
      <c r="M33" s="591">
        <f>IFERROR(Raw_Data!I46,0)*$P33</f>
        <v>29455.064899720066</v>
      </c>
      <c r="N33" s="591">
        <f>IFERROR(Raw_Data!J46,0)*$P33</f>
        <v>28333.159253112586</v>
      </c>
      <c r="O33" s="591">
        <f>IFERROR(Raw_Data!K46,0)*$P33</f>
        <v>27591.024505612164</v>
      </c>
      <c r="P33">
        <v>5.8966973962339825E-2</v>
      </c>
      <c r="Q33" s="692">
        <f t="shared" si="3"/>
        <v>1.0011458778719897</v>
      </c>
      <c r="R33" s="1"/>
      <c r="S33" s="689"/>
      <c r="V33" s="9">
        <f>SUM(Dem!F41:H41)</f>
        <v>904.62325067837492</v>
      </c>
      <c r="W33" s="106" t="s">
        <v>749</v>
      </c>
    </row>
    <row r="34" spans="1:25" ht="14">
      <c r="A34" s="106" t="s">
        <v>739</v>
      </c>
      <c r="B34" s="594" t="s">
        <v>200</v>
      </c>
      <c r="C34" s="479">
        <f>IFERROR('Energy balance'!C17*'Data manipulation'!$Q34,0)</f>
        <v>0</v>
      </c>
      <c r="D34" s="479">
        <f>IFERROR('Energy balance'!D17*'Data manipulation'!$Q34,0)</f>
        <v>0</v>
      </c>
      <c r="E34" s="479">
        <f>IFERROR('Energy balance'!E17*'Data manipulation'!$Q34,0)</f>
        <v>0</v>
      </c>
      <c r="F34" s="591">
        <f>IFERROR(#REF!,0)</f>
        <v>0</v>
      </c>
      <c r="G34" s="591">
        <f>IFERROR(Raw_Data!C47,0)*$P34</f>
        <v>77573.181865398568</v>
      </c>
      <c r="H34" s="591">
        <f>IFERROR(Raw_Data!D47,0)*$P34</f>
        <v>89424.438009210338</v>
      </c>
      <c r="I34" s="591">
        <f>IFERROR(Raw_Data!E47,0)*$P34</f>
        <v>55268.253411701691</v>
      </c>
      <c r="J34" s="591">
        <f>IFERROR(Raw_Data!F47,0)*$P34</f>
        <v>50494.995083069327</v>
      </c>
      <c r="K34" s="591">
        <f>IFERROR(Raw_Data!G47,0)*$P34</f>
        <v>52630.495902226816</v>
      </c>
      <c r="L34" s="591">
        <f>IFERROR(Raw_Data!H47,0)*$P34</f>
        <v>41448.005460196357</v>
      </c>
      <c r="M34" s="591">
        <f>IFERROR(Raw_Data!I47,0)*$P34</f>
        <v>48178.427087511191</v>
      </c>
      <c r="N34" s="591">
        <f>IFERROR(Raw_Data!J47,0)*$P34</f>
        <v>50981.783723141445</v>
      </c>
      <c r="O34" s="591">
        <f>IFERROR(Raw_Data!K47,0)*$P34</f>
        <v>52949.865645526465</v>
      </c>
      <c r="P34">
        <v>0.90988530854600924</v>
      </c>
      <c r="Q34" s="692">
        <f t="shared" si="3"/>
        <v>0.99736904418501493</v>
      </c>
      <c r="R34" s="1"/>
      <c r="S34" s="689"/>
      <c r="V34" s="9">
        <f>SUM(Dem!F42:H42)</f>
        <v>1467.629689543131</v>
      </c>
      <c r="W34" s="106" t="s">
        <v>751</v>
      </c>
    </row>
    <row r="35" spans="1:25" ht="14">
      <c r="A35" s="106" t="s">
        <v>739</v>
      </c>
      <c r="B35" s="595" t="s">
        <v>859</v>
      </c>
      <c r="C35" s="479">
        <f>IFERROR('Energy balance'!C18*'Data manipulation'!$Q109,0)</f>
        <v>0</v>
      </c>
      <c r="D35" s="479">
        <f>IFERROR('Energy balance'!D18*'Data manipulation'!$Q109,0)</f>
        <v>0</v>
      </c>
      <c r="E35" s="536">
        <f>IFERROR('Energy balance'!E18*'Data manipulation'!$Q109,0)</f>
        <v>0</v>
      </c>
      <c r="F35" s="601">
        <f t="shared" ref="F35:O35" si="4">SUM(F26:F28)</f>
        <v>0</v>
      </c>
      <c r="G35" s="591">
        <v>0</v>
      </c>
      <c r="H35" s="591">
        <v>0</v>
      </c>
      <c r="I35" s="591">
        <v>0</v>
      </c>
      <c r="J35" s="591">
        <v>0</v>
      </c>
      <c r="K35" s="591">
        <v>0</v>
      </c>
      <c r="L35" s="591">
        <v>0</v>
      </c>
      <c r="M35" s="591">
        <v>0</v>
      </c>
      <c r="N35" s="591">
        <v>0</v>
      </c>
      <c r="O35" s="591">
        <v>0</v>
      </c>
      <c r="P35">
        <v>0.8456838680624601</v>
      </c>
      <c r="Q35" s="692">
        <f t="shared" si="3"/>
        <v>0.99999999999999989</v>
      </c>
      <c r="R35" s="1"/>
      <c r="S35" s="689"/>
      <c r="V35" s="9">
        <f>SUM(Dem!F43:H43)</f>
        <v>1110.1278644182285</v>
      </c>
      <c r="W35" s="106" t="s">
        <v>750</v>
      </c>
    </row>
    <row r="36" spans="1:25" ht="14">
      <c r="A36" s="106" t="s">
        <v>739</v>
      </c>
      <c r="B36" s="595" t="s">
        <v>860</v>
      </c>
      <c r="C36" s="479">
        <f>IFERROR('Energy balance'!C19*'Data manipulation'!$Q110,0)</f>
        <v>0</v>
      </c>
      <c r="D36" s="479">
        <f>IFERROR('Energy balance'!D19*'Data manipulation'!$Q110,0)</f>
        <v>0</v>
      </c>
      <c r="E36" s="479">
        <f>IFERROR('Energy balance'!E19*'Data manipulation'!$Q110,0)</f>
        <v>0</v>
      </c>
      <c r="F36" s="602">
        <f t="shared" ref="F36:O36" si="5">F24+F32</f>
        <v>0</v>
      </c>
      <c r="G36" s="591">
        <f>(G148)*$P36</f>
        <v>275179.17533287517</v>
      </c>
      <c r="H36" s="591">
        <f t="shared" ref="H36:O36" si="6">(H148)*$P36</f>
        <v>283757.46516490163</v>
      </c>
      <c r="I36" s="591">
        <f t="shared" si="6"/>
        <v>338123.9257592705</v>
      </c>
      <c r="J36" s="591">
        <f t="shared" si="6"/>
        <v>311121.67635862151</v>
      </c>
      <c r="K36" s="591">
        <f t="shared" si="6"/>
        <v>329655.56431163684</v>
      </c>
      <c r="L36" s="591">
        <f t="shared" si="6"/>
        <v>327992.66736913839</v>
      </c>
      <c r="M36" s="591">
        <f t="shared" si="6"/>
        <v>329183.23376835848</v>
      </c>
      <c r="N36" s="591">
        <f t="shared" si="6"/>
        <v>366932.8716291493</v>
      </c>
      <c r="O36" s="591">
        <f t="shared" si="6"/>
        <v>325554.38312325237</v>
      </c>
      <c r="P36">
        <v>0.78777426594522793</v>
      </c>
      <c r="Q36" s="692">
        <f t="shared" si="3"/>
        <v>1</v>
      </c>
      <c r="R36" s="1"/>
      <c r="S36" s="689"/>
      <c r="V36" s="9">
        <f>SUM(Dem!F44:H44)</f>
        <v>75.619195360266474</v>
      </c>
      <c r="W36" s="106" t="s">
        <v>752</v>
      </c>
    </row>
    <row r="37" spans="1:25" ht="14">
      <c r="A37" s="106" t="s">
        <v>739</v>
      </c>
      <c r="B37" s="594" t="s">
        <v>835</v>
      </c>
      <c r="C37" s="480">
        <v>0</v>
      </c>
      <c r="D37" s="480">
        <v>0</v>
      </c>
      <c r="E37" s="480">
        <v>0</v>
      </c>
      <c r="F37" s="591">
        <f>IFERROR(#REF!,0)</f>
        <v>0</v>
      </c>
      <c r="G37" s="591">
        <f>IFERROR(Raw_Data!C34,0)*$P37</f>
        <v>59894.028453932333</v>
      </c>
      <c r="H37" s="591">
        <f>IFERROR(Raw_Data!D34,0)*$P37</f>
        <v>65022.439742963084</v>
      </c>
      <c r="I37" s="591">
        <f>IFERROR(Raw_Data!E34,0)*$P37</f>
        <v>68215.144525843003</v>
      </c>
      <c r="J37" s="591">
        <f>IFERROR(Raw_Data!F34,0)*$P37</f>
        <v>59982.90213163774</v>
      </c>
      <c r="K37" s="591">
        <f>IFERROR(Raw_Data!G34,0)*$P37</f>
        <v>65917.846996216365</v>
      </c>
      <c r="L37" s="591">
        <f>IFERROR(Raw_Data!H34,0)*$P37</f>
        <v>65396.368920734341</v>
      </c>
      <c r="M37" s="591">
        <f>IFERROR(Raw_Data!I34,0)*$P37</f>
        <v>68185.872523170605</v>
      </c>
      <c r="N37" s="591">
        <f>IFERROR(Raw_Data!J34,0)*$P37</f>
        <v>70104.443189891288</v>
      </c>
      <c r="O37" s="591">
        <f>IFERROR(Raw_Data!K34,0)*$P37</f>
        <v>71714.51387528381</v>
      </c>
      <c r="P37">
        <v>0.79524036709475443</v>
      </c>
      <c r="Q37" s="692">
        <f t="shared" si="3"/>
        <v>1</v>
      </c>
      <c r="R37" s="1"/>
      <c r="S37" s="689"/>
      <c r="V37" s="106" t="s">
        <v>734</v>
      </c>
    </row>
    <row r="38" spans="1:25" ht="14">
      <c r="A38" s="106" t="s">
        <v>739</v>
      </c>
      <c r="B38" s="584" t="s">
        <v>908</v>
      </c>
      <c r="C38" s="479">
        <f>IFERROR('Energy balance'!C21*'Data manipulation'!$Q112,0)</f>
        <v>0</v>
      </c>
      <c r="D38" s="479">
        <f>IFERROR('Energy balance'!D21*'Data manipulation'!$Q112,0)</f>
        <v>0</v>
      </c>
      <c r="E38" s="480">
        <f>IFERROR('Energy balance'!E21*'Data manipulation'!$Q112,0)</f>
        <v>0</v>
      </c>
      <c r="F38" s="480">
        <f>IFERROR('Energy balance'!F21*'Data manipulation'!$Q112,0)</f>
        <v>0</v>
      </c>
      <c r="G38" s="480">
        <f>Raw_Data!C35*$P38</f>
        <v>1883</v>
      </c>
      <c r="H38" s="480">
        <f>Raw_Data!D35*$P38</f>
        <v>1930</v>
      </c>
      <c r="I38" s="480">
        <f>Raw_Data!E35*$P38</f>
        <v>1994</v>
      </c>
      <c r="J38" s="480">
        <f>Raw_Data!F35*$P38</f>
        <v>2633</v>
      </c>
      <c r="K38" s="480">
        <f>Raw_Data!G35*$P38</f>
        <v>1901</v>
      </c>
      <c r="L38" s="480">
        <f>Raw_Data!H35*$P38</f>
        <v>2083</v>
      </c>
      <c r="M38" s="480">
        <f>Raw_Data!I35*$P38</f>
        <v>2399</v>
      </c>
      <c r="N38" s="480">
        <f>Raw_Data!J35*$P38</f>
        <v>2596</v>
      </c>
      <c r="O38" s="480">
        <f>Raw_Data!K35*$P38</f>
        <v>2330</v>
      </c>
      <c r="P38">
        <v>1</v>
      </c>
      <c r="Q38" s="692">
        <f t="shared" si="3"/>
        <v>1</v>
      </c>
      <c r="R38" s="1"/>
      <c r="S38" s="689"/>
      <c r="V38" s="9">
        <f>($V$33/V29+$V$34/$V$29+$V$35/V30+$V$36/$V$30)</f>
        <v>1734.9598418329288</v>
      </c>
      <c r="W38" s="106" t="s">
        <v>736</v>
      </c>
    </row>
    <row r="39" spans="1:25" ht="14.5" thickBot="1">
      <c r="A39" s="106" t="s">
        <v>739</v>
      </c>
      <c r="B39" s="594" t="s">
        <v>939</v>
      </c>
      <c r="C39" s="482">
        <f>IFERROR('Energy balance'!C22*'Data manipulation'!$Q113,0)</f>
        <v>0</v>
      </c>
      <c r="D39" s="482">
        <f>IFERROR('Energy balance'!D22*'Data manipulation'!$Q113,0)</f>
        <v>0</v>
      </c>
      <c r="E39" s="482">
        <f>IFERROR('Energy balance'!E22*'Data manipulation'!$Q113,0)</f>
        <v>0</v>
      </c>
      <c r="F39" s="482">
        <f>IFERROR('Energy balance'!F22*'Data manipulation'!$Q113,0)</f>
        <v>0</v>
      </c>
      <c r="G39" s="482">
        <f>SUM(Raw_Data!C40:C41)*$P39</f>
        <v>5710.531567053783</v>
      </c>
      <c r="H39" s="482">
        <f>SUM(Raw_Data!D40:D41)*$P39</f>
        <v>5578.6882645558708</v>
      </c>
      <c r="I39" s="482">
        <f>SUM(Raw_Data!E40:E41)*$P39</f>
        <v>5338.8029463214079</v>
      </c>
      <c r="J39" s="482">
        <f>SUM(Raw_Data!F40:F41)*$P39</f>
        <v>5661.8775993331583</v>
      </c>
      <c r="K39" s="482">
        <f>SUM(Raw_Data!G40:G41)*$P39</f>
        <v>5379.7631223852877</v>
      </c>
      <c r="L39" s="482">
        <f>SUM(Raw_Data!H40:H41)*$P39</f>
        <v>5447.9728521958832</v>
      </c>
      <c r="M39" s="482">
        <f>SUM(Raw_Data!I40:I41)*$P39</f>
        <v>5589.701980009705</v>
      </c>
      <c r="N39" s="482">
        <f>SUM(Raw_Data!J40:J41)*$P39</f>
        <v>1066.7239842814527</v>
      </c>
      <c r="O39" s="482">
        <f>SUM(Raw_Data!K40:K41)*$P39</f>
        <v>1029.8648405578069</v>
      </c>
      <c r="P39">
        <v>0.84995488916768336</v>
      </c>
      <c r="Q39" s="692">
        <f t="shared" si="3"/>
        <v>0.99924604996510669</v>
      </c>
      <c r="R39" s="1"/>
      <c r="S39" s="689"/>
      <c r="V39" s="476">
        <f>ROUND((V33/V29)/V38,3)</f>
        <v>0.26900000000000002</v>
      </c>
      <c r="W39" s="106" t="s">
        <v>760</v>
      </c>
      <c r="X39" s="106" t="s">
        <v>102</v>
      </c>
      <c r="Y39" s="106" t="s">
        <v>714</v>
      </c>
    </row>
    <row r="40" spans="1:25" ht="14">
      <c r="A40" s="106" t="s">
        <v>739</v>
      </c>
      <c r="B40" s="363" t="s">
        <v>92</v>
      </c>
      <c r="C40" s="364">
        <f t="shared" ref="C40:O40" si="7">SUM(C23:C39)</f>
        <v>0</v>
      </c>
      <c r="D40" s="364">
        <f t="shared" si="7"/>
        <v>0</v>
      </c>
      <c r="E40" s="364">
        <f t="shared" si="7"/>
        <v>0</v>
      </c>
      <c r="F40" s="600">
        <f t="shared" si="7"/>
        <v>0</v>
      </c>
      <c r="G40" s="600">
        <f t="shared" si="7"/>
        <v>1030170.2547023519</v>
      </c>
      <c r="H40" s="600">
        <f t="shared" si="7"/>
        <v>1081900.755519551</v>
      </c>
      <c r="I40" s="600">
        <f t="shared" si="7"/>
        <v>1178156.3822923771</v>
      </c>
      <c r="J40" s="600">
        <f t="shared" si="7"/>
        <v>1076192.416535585</v>
      </c>
      <c r="K40" s="600">
        <f t="shared" si="7"/>
        <v>1127834.0444631737</v>
      </c>
      <c r="L40" s="600">
        <f t="shared" si="7"/>
        <v>1106709.1293932225</v>
      </c>
      <c r="M40" s="600">
        <f t="shared" si="7"/>
        <v>1118331.3887812581</v>
      </c>
      <c r="N40" s="600">
        <f t="shared" si="7"/>
        <v>1060838.7000925126</v>
      </c>
      <c r="O40" s="600">
        <f>SUM(O23:O39)</f>
        <v>986197.56426430005</v>
      </c>
      <c r="V40" s="476">
        <f>ROUND((V34/V29)/V38,3)</f>
        <v>0.436</v>
      </c>
      <c r="W40" s="106" t="s">
        <v>760</v>
      </c>
      <c r="X40" s="106" t="s">
        <v>102</v>
      </c>
      <c r="Y40" s="106" t="s">
        <v>715</v>
      </c>
    </row>
    <row r="41" spans="1:25">
      <c r="G41" s="364">
        <f>G37-G39-G38-G32-G31</f>
        <v>-3186.0318482891744</v>
      </c>
      <c r="V41" s="476">
        <f>ROUND((V35/V30)/V38,3)</f>
        <v>0.27700000000000002</v>
      </c>
      <c r="W41" s="106" t="s">
        <v>760</v>
      </c>
      <c r="X41" s="106" t="s">
        <v>759</v>
      </c>
      <c r="Y41" s="106" t="s">
        <v>714</v>
      </c>
    </row>
    <row r="42" spans="1:25" ht="16" thickBot="1">
      <c r="B42" s="357" t="s">
        <v>258</v>
      </c>
      <c r="V42" s="476">
        <f>ROUND((V36/V30)/V38,3)</f>
        <v>1.9E-2</v>
      </c>
      <c r="W42" s="106" t="s">
        <v>760</v>
      </c>
      <c r="X42" s="106" t="s">
        <v>759</v>
      </c>
      <c r="Y42" s="106" t="s">
        <v>715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8"/>
    </row>
    <row r="44" spans="1:25" ht="14">
      <c r="A44" s="106" t="s">
        <v>271</v>
      </c>
      <c r="B44" s="584" t="s">
        <v>839</v>
      </c>
      <c r="C44" s="478">
        <f>IFERROR('Energy balance'!C26*'Data manipulation'!$P44,0)</f>
        <v>0</v>
      </c>
      <c r="D44" s="478">
        <f>IFERROR('Energy balance'!D26*'Data manipulation'!$P44,0)</f>
        <v>0</v>
      </c>
      <c r="E44" s="478">
        <f>IFERROR('Energy balance'!E26*'Data manipulation'!$P44,0)</f>
        <v>0</v>
      </c>
      <c r="F44" s="591">
        <f>IFERROR(#REF!,0)</f>
        <v>0</v>
      </c>
      <c r="G44" s="591">
        <f>G135*$P44</f>
        <v>0</v>
      </c>
      <c r="H44" s="591">
        <f t="shared" ref="H44:O44" si="8">H135*$P44</f>
        <v>0</v>
      </c>
      <c r="I44" s="591">
        <f t="shared" si="8"/>
        <v>0</v>
      </c>
      <c r="J44" s="591">
        <f t="shared" si="8"/>
        <v>0</v>
      </c>
      <c r="K44" s="591">
        <f t="shared" si="8"/>
        <v>0</v>
      </c>
      <c r="L44" s="591">
        <f t="shared" si="8"/>
        <v>0</v>
      </c>
      <c r="M44" s="591">
        <f t="shared" si="8"/>
        <v>0</v>
      </c>
      <c r="N44" s="591">
        <f t="shared" si="8"/>
        <v>0</v>
      </c>
      <c r="O44" s="591">
        <f t="shared" si="8"/>
        <v>0</v>
      </c>
      <c r="P44">
        <v>0</v>
      </c>
    </row>
    <row r="45" spans="1:25" ht="14">
      <c r="A45" s="106" t="s">
        <v>271</v>
      </c>
      <c r="B45" s="638" t="s">
        <v>74</v>
      </c>
      <c r="C45" s="479">
        <f>IFERROR('Energy balance'!C27*'Data manipulation'!$P45,0)</f>
        <v>0</v>
      </c>
      <c r="D45" s="479">
        <f>IFERROR('Energy balance'!D27*'Data manipulation'!$P45,0)</f>
        <v>0</v>
      </c>
      <c r="E45" s="479">
        <f>IFERROR('Energy balance'!E27*'Data manipulation'!$P45,0)</f>
        <v>0</v>
      </c>
      <c r="F45" s="591">
        <f>IFERROR(#REF!,0)</f>
        <v>0</v>
      </c>
      <c r="G45" s="591">
        <f>G136*$P45</f>
        <v>71641.416687243822</v>
      </c>
      <c r="H45" s="591">
        <f t="shared" ref="H45:O45" si="9">H136*$P45</f>
        <v>73673.343849230834</v>
      </c>
      <c r="I45" s="591">
        <f t="shared" si="9"/>
        <v>88278.633906695875</v>
      </c>
      <c r="J45" s="591">
        <f t="shared" si="9"/>
        <v>80737.045709966696</v>
      </c>
      <c r="K45" s="591">
        <f t="shared" si="9"/>
        <v>85490.363087473845</v>
      </c>
      <c r="L45" s="591">
        <f t="shared" si="9"/>
        <v>84891.206879573612</v>
      </c>
      <c r="M45" s="591">
        <f t="shared" si="9"/>
        <v>85127.930125087398</v>
      </c>
      <c r="N45" s="591">
        <f t="shared" si="9"/>
        <v>95197.569611102226</v>
      </c>
      <c r="O45" s="591">
        <f t="shared" si="9"/>
        <v>84136.62510937659</v>
      </c>
      <c r="P45">
        <v>0.21224997445879179</v>
      </c>
      <c r="V45" s="514" t="s">
        <v>753</v>
      </c>
      <c r="W45" s="106" t="s">
        <v>754</v>
      </c>
    </row>
    <row r="46" spans="1:25" ht="14">
      <c r="A46" s="106" t="s">
        <v>271</v>
      </c>
      <c r="B46" s="638" t="s">
        <v>838</v>
      </c>
      <c r="C46" s="479">
        <f>IFERROR('Energy balance'!C28*'Data manipulation'!$P46,0)</f>
        <v>0</v>
      </c>
      <c r="D46" s="479">
        <f>IFERROR('Energy balance'!D28*'Data manipulation'!$P46,0)</f>
        <v>0</v>
      </c>
      <c r="E46" s="479">
        <f>IFERROR('Energy balance'!E28*'Data manipulation'!$P46,0)</f>
        <v>0</v>
      </c>
      <c r="F46" s="591">
        <f>IFERROR(#REF!,0)</f>
        <v>0</v>
      </c>
      <c r="G46" s="591">
        <f>G137*$P46</f>
        <v>2299.9497039576213</v>
      </c>
      <c r="H46" s="591">
        <f t="shared" ref="H46:O46" si="10">H137*$P46</f>
        <v>2410.4577978414709</v>
      </c>
      <c r="I46" s="591">
        <f t="shared" si="10"/>
        <v>2907.7442203187943</v>
      </c>
      <c r="J46" s="591">
        <f t="shared" si="10"/>
        <v>2504.3201164335519</v>
      </c>
      <c r="K46" s="591">
        <f t="shared" si="10"/>
        <v>2103.3554124185735</v>
      </c>
      <c r="L46" s="591">
        <f t="shared" si="10"/>
        <v>2643.3958705882351</v>
      </c>
      <c r="M46" s="591">
        <f t="shared" si="10"/>
        <v>1732.1029176470586</v>
      </c>
      <c r="N46" s="591">
        <f t="shared" si="10"/>
        <v>1098.7219999999998</v>
      </c>
      <c r="O46" s="591">
        <f t="shared" si="10"/>
        <v>1169.8157764705882</v>
      </c>
      <c r="P46">
        <v>0.15004574890270914</v>
      </c>
      <c r="V46" s="476">
        <f>V39</f>
        <v>0.26900000000000002</v>
      </c>
      <c r="W46" s="106" t="s">
        <v>761</v>
      </c>
      <c r="X46" s="106" t="s">
        <v>102</v>
      </c>
      <c r="Y46" s="106" t="s">
        <v>714</v>
      </c>
    </row>
    <row r="47" spans="1:25" ht="14">
      <c r="A47" s="106" t="s">
        <v>271</v>
      </c>
      <c r="B47" s="638" t="s">
        <v>837</v>
      </c>
      <c r="C47" s="480">
        <f>IFERROR('Energy balance'!C29*'Data manipulation'!$P47,0)</f>
        <v>0</v>
      </c>
      <c r="D47" s="480">
        <f>IFERROR('Energy balance'!D29*'Data manipulation'!$P47,0)</f>
        <v>0</v>
      </c>
      <c r="E47" s="480">
        <f>IFERROR('Energy balance'!E29*'Data manipulation'!$P47,0)</f>
        <v>0</v>
      </c>
      <c r="F47" s="591">
        <f>IFERROR(#REF!,0)</f>
        <v>0</v>
      </c>
      <c r="G47" s="591">
        <f>G138*$P47</f>
        <v>0</v>
      </c>
      <c r="H47" s="591">
        <f t="shared" ref="H47:O47" si="11">H138*$P47</f>
        <v>0</v>
      </c>
      <c r="I47" s="591">
        <f t="shared" si="11"/>
        <v>0</v>
      </c>
      <c r="J47" s="591">
        <f t="shared" si="11"/>
        <v>0</v>
      </c>
      <c r="K47" s="591">
        <f t="shared" si="11"/>
        <v>0</v>
      </c>
      <c r="L47" s="591">
        <f t="shared" si="11"/>
        <v>0</v>
      </c>
      <c r="M47" s="591">
        <f t="shared" si="11"/>
        <v>0</v>
      </c>
      <c r="N47" s="591">
        <f t="shared" si="11"/>
        <v>0</v>
      </c>
      <c r="O47" s="591">
        <f t="shared" si="11"/>
        <v>0</v>
      </c>
      <c r="P47">
        <v>0.14867144669971888</v>
      </c>
      <c r="V47" s="476">
        <f>V40</f>
        <v>0.436</v>
      </c>
      <c r="W47" s="106" t="s">
        <v>761</v>
      </c>
      <c r="X47" s="106" t="s">
        <v>102</v>
      </c>
      <c r="Y47" s="106" t="s">
        <v>715</v>
      </c>
    </row>
    <row r="48" spans="1:25" ht="14">
      <c r="A48" s="106" t="s">
        <v>271</v>
      </c>
      <c r="B48" s="638" t="s">
        <v>193</v>
      </c>
      <c r="C48" s="480">
        <f>IFERROR('Energy balance'!C30*'Data manipulation'!$P48,0)</f>
        <v>0</v>
      </c>
      <c r="D48" s="480">
        <f>IFERROR('Energy balance'!D30*'Data manipulation'!$P48,0)</f>
        <v>0</v>
      </c>
      <c r="E48" s="480">
        <f>IFERROR('Energy balance'!E30*'Data manipulation'!$P48,0)</f>
        <v>0</v>
      </c>
      <c r="F48" s="601">
        <f>IFERROR('Energy balance'!F30*'Data manipulation'!$P48,0)</f>
        <v>0</v>
      </c>
      <c r="G48" s="591">
        <f>G139*$P48</f>
        <v>0</v>
      </c>
      <c r="H48" s="591">
        <f t="shared" ref="H48:O48" si="12">H139*$P48</f>
        <v>0</v>
      </c>
      <c r="I48" s="591">
        <f t="shared" si="12"/>
        <v>0</v>
      </c>
      <c r="J48" s="591">
        <f t="shared" si="12"/>
        <v>0</v>
      </c>
      <c r="K48" s="591">
        <f t="shared" si="12"/>
        <v>0</v>
      </c>
      <c r="L48" s="591">
        <f t="shared" si="12"/>
        <v>0</v>
      </c>
      <c r="M48" s="591">
        <f t="shared" si="12"/>
        <v>0</v>
      </c>
      <c r="N48" s="591">
        <f t="shared" si="12"/>
        <v>0</v>
      </c>
      <c r="O48" s="591">
        <f t="shared" si="12"/>
        <v>0</v>
      </c>
      <c r="P48">
        <v>0</v>
      </c>
      <c r="V48" s="476">
        <f>V41</f>
        <v>0.27700000000000002</v>
      </c>
      <c r="W48" s="106" t="s">
        <v>761</v>
      </c>
      <c r="X48" s="106" t="s">
        <v>759</v>
      </c>
      <c r="Y48" s="106" t="s">
        <v>714</v>
      </c>
    </row>
    <row r="49" spans="1:25" ht="14">
      <c r="A49" s="106" t="s">
        <v>271</v>
      </c>
      <c r="B49" s="638" t="s">
        <v>836</v>
      </c>
      <c r="C49" s="480">
        <f>IFERROR('Energy balance'!C31*'Data manipulation'!$P49,0)</f>
        <v>0</v>
      </c>
      <c r="D49" s="480">
        <f>IFERROR('Energy balance'!D31*'Data manipulation'!$P49,0)</f>
        <v>0</v>
      </c>
      <c r="E49" s="480">
        <f>IFERROR('Energy balance'!E31*'Data manipulation'!$P49,0)</f>
        <v>0</v>
      </c>
      <c r="F49" s="591">
        <f>IFERROR(#REF!,0)</f>
        <v>0</v>
      </c>
      <c r="G49" s="591">
        <f>G140*$P49</f>
        <v>41800.635596946122</v>
      </c>
      <c r="H49" s="591">
        <f t="shared" ref="H49:O49" si="13">H140*$P49</f>
        <v>43851.051701401404</v>
      </c>
      <c r="I49" s="591">
        <f t="shared" si="13"/>
        <v>46438.579037524272</v>
      </c>
      <c r="J49" s="591">
        <f t="shared" si="13"/>
        <v>42676.471115550754</v>
      </c>
      <c r="K49" s="591">
        <f t="shared" si="13"/>
        <v>42016.816241325105</v>
      </c>
      <c r="L49" s="591">
        <f t="shared" si="13"/>
        <v>41701.763221118053</v>
      </c>
      <c r="M49" s="591">
        <f t="shared" si="13"/>
        <v>42221.43515968891</v>
      </c>
      <c r="N49" s="591">
        <f t="shared" si="13"/>
        <v>19249.559600554065</v>
      </c>
      <c r="O49" s="591">
        <f t="shared" si="13"/>
        <v>19839.973457574142</v>
      </c>
      <c r="P49">
        <v>0.15004511083231664</v>
      </c>
      <c r="V49" s="476">
        <f>V42</f>
        <v>1.9E-2</v>
      </c>
      <c r="W49" s="106" t="s">
        <v>761</v>
      </c>
      <c r="X49" s="106" t="s">
        <v>759</v>
      </c>
      <c r="Y49" s="106" t="s">
        <v>715</v>
      </c>
    </row>
    <row r="50" spans="1:25" ht="14">
      <c r="A50" s="106" t="s">
        <v>271</v>
      </c>
      <c r="B50" s="638" t="s">
        <v>834</v>
      </c>
      <c r="C50" s="480">
        <f>IFERROR('Energy balance'!C33*'Data manipulation'!$P50,0)</f>
        <v>0</v>
      </c>
      <c r="D50" s="480">
        <f>IFERROR('Energy balance'!D33*'Data manipulation'!$P50,0)</f>
        <v>0</v>
      </c>
      <c r="E50" s="480">
        <f>IFERROR('Energy balance'!E33*'Data manipulation'!$P50,0)</f>
        <v>0</v>
      </c>
      <c r="F50" s="591">
        <f>IFERROR(#REF!,0)</f>
        <v>0</v>
      </c>
      <c r="G50" s="591">
        <f>G141*$P50</f>
        <v>994.13599999999997</v>
      </c>
      <c r="H50" s="591">
        <f t="shared" ref="H50:O50" si="14">H141*$P50</f>
        <v>991.529</v>
      </c>
      <c r="I50" s="591">
        <f t="shared" si="14"/>
        <v>966.32799999999997</v>
      </c>
      <c r="J50" s="591">
        <f t="shared" si="14"/>
        <v>1008.909</v>
      </c>
      <c r="K50" s="591">
        <f t="shared" si="14"/>
        <v>1052.3589999999999</v>
      </c>
      <c r="L50" s="591">
        <f t="shared" si="14"/>
        <v>1033.241</v>
      </c>
      <c r="M50" s="591">
        <f t="shared" si="14"/>
        <v>1038.4549999999999</v>
      </c>
      <c r="N50" s="591">
        <f t="shared" si="14"/>
        <v>1160.115</v>
      </c>
      <c r="O50" s="591">
        <f t="shared" si="14"/>
        <v>1098.4159999999999</v>
      </c>
      <c r="P50">
        <v>0.86899999999999999</v>
      </c>
    </row>
    <row r="51" spans="1:25" ht="14">
      <c r="A51" s="106" t="s">
        <v>271</v>
      </c>
      <c r="B51" s="638" t="s">
        <v>833</v>
      </c>
      <c r="C51" s="479">
        <f>IFERROR('Energy balance'!C34*'Data manipulation'!$P51,0)</f>
        <v>0</v>
      </c>
      <c r="D51" s="479">
        <f>IFERROR('Energy balance'!D34*'Data manipulation'!$P51,0)</f>
        <v>0</v>
      </c>
      <c r="E51" s="479">
        <f>IFERROR('Energy balance'!E34*'Data manipulation'!$P51,0)</f>
        <v>0</v>
      </c>
      <c r="F51" s="591">
        <f>IFERROR(#REF!,0)</f>
        <v>0</v>
      </c>
      <c r="G51" s="591">
        <f>G142*$P51</f>
        <v>145.35000000000002</v>
      </c>
      <c r="H51" s="591">
        <f t="shared" ref="H51:O51" si="15">H142*$P51</f>
        <v>162.54000000000002</v>
      </c>
      <c r="I51" s="591">
        <f t="shared" si="15"/>
        <v>179.91000000000003</v>
      </c>
      <c r="J51" s="591">
        <f t="shared" si="15"/>
        <v>199.98000000000002</v>
      </c>
      <c r="K51" s="591">
        <f t="shared" si="15"/>
        <v>221.04000000000002</v>
      </c>
      <c r="L51" s="591">
        <f t="shared" si="15"/>
        <v>252.81000000000003</v>
      </c>
      <c r="M51" s="591">
        <f t="shared" si="15"/>
        <v>291.06000000000006</v>
      </c>
      <c r="N51" s="591">
        <f t="shared" si="15"/>
        <v>329.49000000000007</v>
      </c>
      <c r="O51" s="591">
        <f t="shared" si="15"/>
        <v>376.56000000000006</v>
      </c>
      <c r="P51">
        <v>9.0000000000000011E-2</v>
      </c>
    </row>
    <row r="52" spans="1:25" ht="14">
      <c r="A52" s="106" t="s">
        <v>271</v>
      </c>
      <c r="B52" s="638" t="s">
        <v>832</v>
      </c>
      <c r="C52" s="479">
        <f>IFERROR('Energy balance'!C35*'Data manipulation'!$P52,0)</f>
        <v>0</v>
      </c>
      <c r="D52" s="479">
        <f>IFERROR('Energy balance'!D35*'Data manipulation'!$P52,0)</f>
        <v>0</v>
      </c>
      <c r="E52" s="479">
        <f>IFERROR('Energy balance'!E35*'Data manipulation'!$P52,0)</f>
        <v>0</v>
      </c>
      <c r="F52" s="591">
        <f>IFERROR(#REF!,0)</f>
        <v>0</v>
      </c>
      <c r="G52" s="591">
        <f>G143*$P52</f>
        <v>6849.9763296911624</v>
      </c>
      <c r="H52" s="591">
        <f t="shared" ref="H52:O52" si="16">H143*$P52</f>
        <v>7523.4578622787303</v>
      </c>
      <c r="I52" s="591">
        <f t="shared" si="16"/>
        <v>8031.9541667973153</v>
      </c>
      <c r="J52" s="591">
        <f t="shared" si="16"/>
        <v>6336.352994180791</v>
      </c>
      <c r="K52" s="591">
        <f t="shared" si="16"/>
        <v>7271.1816450162778</v>
      </c>
      <c r="L52" s="591">
        <f t="shared" si="16"/>
        <v>7013.3840097626726</v>
      </c>
      <c r="M52" s="591">
        <f t="shared" si="16"/>
        <v>7302.3382179663568</v>
      </c>
      <c r="N52" s="591">
        <f t="shared" si="16"/>
        <v>8155.9231469320175</v>
      </c>
      <c r="O52" s="591">
        <f t="shared" si="16"/>
        <v>8457.6292014486025</v>
      </c>
      <c r="P52">
        <v>0.13146233312269531</v>
      </c>
    </row>
    <row r="53" spans="1:25" ht="14">
      <c r="A53" s="106" t="s">
        <v>271</v>
      </c>
      <c r="B53" s="638" t="s">
        <v>831</v>
      </c>
      <c r="C53" s="479">
        <f>IFERROR('Energy balance'!C36*'Data manipulation'!$P53,0)</f>
        <v>0</v>
      </c>
      <c r="D53" s="479">
        <f>IFERROR('Energy balance'!D36*'Data manipulation'!$P53,0)</f>
        <v>0</v>
      </c>
      <c r="E53" s="479">
        <f>IFERROR('Energy balance'!E36*'Data manipulation'!$P53,0)</f>
        <v>0</v>
      </c>
      <c r="F53" s="591">
        <f>IFERROR(#REF!,0)</f>
        <v>0</v>
      </c>
      <c r="G53" s="591">
        <f>G144*$P53</f>
        <v>1548.4949351411083</v>
      </c>
      <c r="H53" s="591">
        <f t="shared" ref="H53:O53" si="17">H144*$P53</f>
        <v>1721.499378187691</v>
      </c>
      <c r="I53" s="591">
        <f t="shared" si="17"/>
        <v>1747.9233090785447</v>
      </c>
      <c r="J53" s="591">
        <f t="shared" si="17"/>
        <v>1912.9085492179529</v>
      </c>
      <c r="K53" s="591">
        <f t="shared" si="17"/>
        <v>2061.7239212002719</v>
      </c>
      <c r="L53" s="591">
        <f t="shared" si="17"/>
        <v>2155.3251092315536</v>
      </c>
      <c r="M53" s="591">
        <f t="shared" si="17"/>
        <v>2207.384196956817</v>
      </c>
      <c r="N53" s="591">
        <f t="shared" si="17"/>
        <v>2270.0917344440663</v>
      </c>
      <c r="O53" s="591">
        <f t="shared" si="17"/>
        <v>2215.7977868922135</v>
      </c>
      <c r="P53">
        <v>0.13146234274056443</v>
      </c>
    </row>
    <row r="54" spans="1:25" ht="14">
      <c r="A54" s="106" t="s">
        <v>271</v>
      </c>
      <c r="B54" s="638" t="s">
        <v>73</v>
      </c>
      <c r="C54" s="479">
        <f>IFERROR('Energy balance'!C37*'Data manipulation'!$P54,0)</f>
        <v>0</v>
      </c>
      <c r="D54" s="479">
        <f>IFERROR('Energy balance'!D37*'Data manipulation'!$P54,0)</f>
        <v>0</v>
      </c>
      <c r="E54" s="479">
        <f>IFERROR('Energy balance'!E37*'Data manipulation'!$P54,0)</f>
        <v>0</v>
      </c>
      <c r="F54" s="591">
        <f>IFERROR(#REF!,0)</f>
        <v>0</v>
      </c>
      <c r="G54" s="591">
        <f>G145*$P54</f>
        <v>56365.85700920727</v>
      </c>
      <c r="H54" s="591">
        <f t="shared" ref="H54:O54" si="18">H145*$P54</f>
        <v>57566.731869849784</v>
      </c>
      <c r="I54" s="591">
        <f t="shared" si="18"/>
        <v>58746.103461637809</v>
      </c>
      <c r="J54" s="591">
        <f t="shared" si="18"/>
        <v>54384.661603787761</v>
      </c>
      <c r="K54" s="591">
        <f t="shared" si="18"/>
        <v>58197.770105848562</v>
      </c>
      <c r="L54" s="591">
        <f t="shared" si="18"/>
        <v>58548.852322338062</v>
      </c>
      <c r="M54" s="591">
        <f t="shared" si="18"/>
        <v>57378.578267373079</v>
      </c>
      <c r="N54" s="591">
        <f t="shared" si="18"/>
        <v>55193.101807836007</v>
      </c>
      <c r="O54" s="591">
        <f t="shared" si="18"/>
        <v>53747.42050177326</v>
      </c>
      <c r="P54">
        <v>0.1148678891799156</v>
      </c>
    </row>
    <row r="55" spans="1:25" ht="14">
      <c r="A55" s="106" t="s">
        <v>271</v>
      </c>
      <c r="B55" s="638" t="s">
        <v>200</v>
      </c>
      <c r="C55" s="479">
        <f>IFERROR('Energy balance'!C38*'Data manipulation'!$P55,0)</f>
        <v>0</v>
      </c>
      <c r="D55" s="479">
        <f>IFERROR('Energy balance'!D38*'Data manipulation'!$P55,0)</f>
        <v>0</v>
      </c>
      <c r="E55" s="479">
        <f>IFERROR('Energy balance'!E38*'Data manipulation'!$P55,0)</f>
        <v>0</v>
      </c>
      <c r="F55" s="591">
        <f>IFERROR(#REF!,0)</f>
        <v>0</v>
      </c>
      <c r="G55" s="591">
        <f>G146*$P55</f>
        <v>7458.513365639069</v>
      </c>
      <c r="H55" s="591">
        <f t="shared" ref="H55:O55" si="19">H146*$P55</f>
        <v>8597.9890223371185</v>
      </c>
      <c r="I55" s="591">
        <f t="shared" si="19"/>
        <v>5313.9370701844837</v>
      </c>
      <c r="J55" s="591">
        <f t="shared" si="19"/>
        <v>4854.9973930222595</v>
      </c>
      <c r="K55" s="591">
        <f t="shared" si="19"/>
        <v>5060.3217205670062</v>
      </c>
      <c r="L55" s="591">
        <f t="shared" si="19"/>
        <v>3985.146609563626</v>
      </c>
      <c r="M55" s="591">
        <f t="shared" si="19"/>
        <v>4632.263802085351</v>
      </c>
      <c r="N55" s="591">
        <f t="shared" si="19"/>
        <v>4901.8011915891275</v>
      </c>
      <c r="O55" s="591">
        <f t="shared" si="19"/>
        <v>5091.0285117762969</v>
      </c>
      <c r="P55">
        <v>8.7483735639005689E-2</v>
      </c>
    </row>
    <row r="56" spans="1:25" ht="14">
      <c r="A56" s="106" t="s">
        <v>271</v>
      </c>
      <c r="B56" s="639" t="s">
        <v>859</v>
      </c>
      <c r="C56" s="479">
        <f>IFERROR('Energy balance'!C39*'Data manipulation'!$Q130,0)</f>
        <v>0</v>
      </c>
      <c r="D56" s="479">
        <f>IFERROR('Energy balance'!D39*'Data manipulation'!$Q130,0)</f>
        <v>0</v>
      </c>
      <c r="E56" s="536">
        <f>IFERROR('Energy balance'!E39*'Data manipulation'!$Q130,0)</f>
        <v>0</v>
      </c>
      <c r="F56" s="601">
        <f t="shared" ref="F56:O56" si="20">SUM(F47:F49)</f>
        <v>0</v>
      </c>
      <c r="G56" s="591">
        <f t="shared" ref="G56:O60" si="21">G147*$P56</f>
        <v>0</v>
      </c>
      <c r="H56" s="591">
        <f t="shared" si="21"/>
        <v>0</v>
      </c>
      <c r="I56" s="591">
        <f t="shared" si="21"/>
        <v>0</v>
      </c>
      <c r="J56" s="591">
        <f t="shared" si="21"/>
        <v>0</v>
      </c>
      <c r="K56" s="591">
        <f t="shared" si="21"/>
        <v>0</v>
      </c>
      <c r="L56" s="591">
        <f t="shared" si="21"/>
        <v>0</v>
      </c>
      <c r="M56" s="591">
        <f t="shared" si="21"/>
        <v>0</v>
      </c>
      <c r="N56" s="591">
        <f t="shared" si="21"/>
        <v>0</v>
      </c>
      <c r="O56" s="591">
        <f t="shared" si="21"/>
        <v>0</v>
      </c>
      <c r="P56">
        <v>0.14929116079742336</v>
      </c>
    </row>
    <row r="57" spans="1:25" ht="14">
      <c r="A57" s="106" t="s">
        <v>271</v>
      </c>
      <c r="B57" s="639" t="s">
        <v>860</v>
      </c>
      <c r="C57" s="479">
        <f>IFERROR('Energy balance'!C40*'Data manipulation'!$Q131,0)</f>
        <v>0</v>
      </c>
      <c r="D57" s="479">
        <f>IFERROR('Energy balance'!D40*'Data manipulation'!$Q131,0)</f>
        <v>0</v>
      </c>
      <c r="E57" s="479">
        <f>IFERROR('Energy balance'!E40*'Data manipulation'!$Q131,0)</f>
        <v>0</v>
      </c>
      <c r="F57" s="602">
        <f t="shared" ref="F57:O57" si="22">F45+F53</f>
        <v>0</v>
      </c>
      <c r="G57" s="591">
        <f t="shared" si="21"/>
        <v>74133.041667124809</v>
      </c>
      <c r="H57" s="591">
        <f t="shared" si="21"/>
        <v>76444.025835098349</v>
      </c>
      <c r="I57" s="591">
        <f t="shared" si="21"/>
        <v>91090.305240729489</v>
      </c>
      <c r="J57" s="591">
        <f t="shared" si="21"/>
        <v>83815.92164137846</v>
      </c>
      <c r="K57" s="591">
        <f t="shared" si="21"/>
        <v>88808.935688363141</v>
      </c>
      <c r="L57" s="591">
        <f t="shared" si="21"/>
        <v>88360.952630861604</v>
      </c>
      <c r="M57" s="591">
        <f t="shared" si="21"/>
        <v>88681.690231641522</v>
      </c>
      <c r="N57" s="591">
        <f t="shared" si="21"/>
        <v>98851.411370850663</v>
      </c>
      <c r="O57" s="591">
        <f t="shared" si="21"/>
        <v>87704.080876747568</v>
      </c>
      <c r="P57">
        <v>0.21222573405477202</v>
      </c>
    </row>
    <row r="58" spans="1:25" ht="14">
      <c r="A58" s="106" t="s">
        <v>271</v>
      </c>
      <c r="B58" s="638" t="s">
        <v>835</v>
      </c>
      <c r="C58" s="480">
        <f>IFERROR('Energy balance'!C32*'Data manipulation'!$P58,0)</f>
        <v>0</v>
      </c>
      <c r="D58" s="480">
        <f>IFERROR('Energy balance'!D32*'Data manipulation'!$P58,0)</f>
        <v>0</v>
      </c>
      <c r="E58" s="480">
        <f>IFERROR('Energy balance'!E32*'Data manipulation'!$P58,0)</f>
        <v>0</v>
      </c>
      <c r="F58" s="591">
        <f>IFERROR(#REF!,0)</f>
        <v>0</v>
      </c>
      <c r="G58" s="591">
        <f t="shared" si="21"/>
        <v>13935.739292662585</v>
      </c>
      <c r="H58" s="591">
        <f t="shared" si="21"/>
        <v>15128.983503384698</v>
      </c>
      <c r="I58" s="591">
        <f t="shared" si="21"/>
        <v>15871.840556769794</v>
      </c>
      <c r="J58" s="591">
        <f t="shared" si="21"/>
        <v>13956.417821632051</v>
      </c>
      <c r="K58" s="591">
        <f t="shared" si="21"/>
        <v>15337.320834571134</v>
      </c>
      <c r="L58" s="591">
        <f t="shared" si="21"/>
        <v>15215.986826918828</v>
      </c>
      <c r="M58" s="591">
        <f t="shared" si="21"/>
        <v>15865.029744267336</v>
      </c>
      <c r="N58" s="591">
        <f t="shared" si="21"/>
        <v>16311.429849856058</v>
      </c>
      <c r="O58" s="591">
        <f t="shared" si="21"/>
        <v>16686.050256824452</v>
      </c>
      <c r="P58">
        <v>0.18503117450778489</v>
      </c>
    </row>
    <row r="59" spans="1:25" ht="14">
      <c r="A59" s="106" t="s">
        <v>271</v>
      </c>
      <c r="B59" s="584" t="s">
        <v>908</v>
      </c>
      <c r="C59" s="479">
        <f>IFERROR('Energy balance'!C42*'Data manipulation'!$Q133,0)</f>
        <v>0</v>
      </c>
      <c r="D59" s="479">
        <f>IFERROR('Energy balance'!D42*'Data manipulation'!$Q133,0)</f>
        <v>0</v>
      </c>
      <c r="E59" s="480">
        <f>IFERROR('Energy balance'!E42*'Data manipulation'!$Q133,0)</f>
        <v>0</v>
      </c>
      <c r="F59" s="480">
        <f>IFERROR('Energy balance'!F42*'Data manipulation'!$Q133,0)</f>
        <v>0</v>
      </c>
      <c r="G59" s="591">
        <f t="shared" si="21"/>
        <v>0</v>
      </c>
      <c r="H59" s="591">
        <f t="shared" si="21"/>
        <v>0</v>
      </c>
      <c r="I59" s="591">
        <f t="shared" si="21"/>
        <v>0</v>
      </c>
      <c r="J59" s="591">
        <f t="shared" si="21"/>
        <v>0</v>
      </c>
      <c r="K59" s="591">
        <f t="shared" si="21"/>
        <v>0</v>
      </c>
      <c r="L59" s="591">
        <f t="shared" si="21"/>
        <v>0</v>
      </c>
      <c r="M59" s="591">
        <f t="shared" si="21"/>
        <v>0</v>
      </c>
      <c r="N59" s="591">
        <f t="shared" si="21"/>
        <v>0</v>
      </c>
      <c r="O59" s="591">
        <f t="shared" si="21"/>
        <v>0</v>
      </c>
    </row>
    <row r="60" spans="1:25" ht="14.5" thickBot="1">
      <c r="A60" s="106" t="s">
        <v>271</v>
      </c>
      <c r="B60" s="584" t="s">
        <v>939</v>
      </c>
      <c r="C60" s="482">
        <f>IFERROR('Energy balance'!C43*'Data manipulation'!$Q134,0)</f>
        <v>0</v>
      </c>
      <c r="D60" s="482">
        <f>IFERROR('Energy balance'!D43*'Data manipulation'!$Q134,0)</f>
        <v>0</v>
      </c>
      <c r="E60" s="482">
        <f>IFERROR('Energy balance'!E43*'Data manipulation'!$Q134,0)</f>
        <v>0</v>
      </c>
      <c r="F60" s="482">
        <f>IFERROR('Energy balance'!F43*'Data manipulation'!$Q134,0)</f>
        <v>0</v>
      </c>
      <c r="G60" s="591">
        <f t="shared" si="21"/>
        <v>1003.0319223772317</v>
      </c>
      <c r="H60" s="591">
        <f t="shared" si="21"/>
        <v>979.87417609665704</v>
      </c>
      <c r="I60" s="591">
        <f t="shared" si="21"/>
        <v>937.73928391131778</v>
      </c>
      <c r="J60" s="591">
        <f t="shared" si="21"/>
        <v>994.48604845970488</v>
      </c>
      <c r="K60" s="591">
        <f t="shared" si="21"/>
        <v>944.93377424130642</v>
      </c>
      <c r="L60" s="591">
        <f t="shared" si="21"/>
        <v>956.91453918646039</v>
      </c>
      <c r="M60" s="591">
        <f t="shared" si="21"/>
        <v>981.80869095826995</v>
      </c>
      <c r="N60" s="591">
        <f t="shared" si="21"/>
        <v>187.36578128255502</v>
      </c>
      <c r="O60" s="591">
        <f t="shared" si="21"/>
        <v>180.89162080341396</v>
      </c>
      <c r="P60">
        <v>0.14929116079742336</v>
      </c>
    </row>
    <row r="61" spans="1:25" ht="14.5" thickBot="1">
      <c r="A61" s="106" t="s">
        <v>271</v>
      </c>
      <c r="B61" s="326"/>
      <c r="C61" s="482">
        <f>IFERROR('Energy balance'!C22*$Q61,0)</f>
        <v>0</v>
      </c>
      <c r="D61" s="482">
        <f>IFERROR('Energy balance'!D22*$Q61,0)</f>
        <v>0</v>
      </c>
      <c r="E61" s="482">
        <f>IFERROR('Energy balance'!E22*$Q61,0)</f>
        <v>0</v>
      </c>
      <c r="F61" s="482">
        <f>IFERROR('Energy balance'!F22*$Q61,0)</f>
        <v>0</v>
      </c>
      <c r="G61" s="591"/>
      <c r="H61" s="482">
        <f>IFERROR('Energy balance'!H22*$Q61,0)</f>
        <v>0</v>
      </c>
      <c r="I61" s="482">
        <f>IFERROR('Energy balance'!I22*$Q61,0)</f>
        <v>0</v>
      </c>
      <c r="J61" s="482">
        <f>IFERROR('Energy balance'!J22*$Q61,0)</f>
        <v>0</v>
      </c>
      <c r="K61" s="482">
        <f>IFERROR('Energy balance'!K22*$Q61,0)</f>
        <v>0</v>
      </c>
      <c r="L61" s="482">
        <f>IFERROR('Energy balance'!L22*$Q61,0)</f>
        <v>0</v>
      </c>
      <c r="M61" s="483">
        <f>IFERROR('Energy balance'!M22*$Q61,0)</f>
        <v>0</v>
      </c>
      <c r="N61" s="484">
        <f>IFERROR('Energy balance'!N22*$Q61,0)</f>
        <v>0</v>
      </c>
      <c r="O61" s="484">
        <f>IFERROR('Energy balance'!O22*$Q61,0)</f>
        <v>0</v>
      </c>
      <c r="Q61" s="106"/>
    </row>
    <row r="62" spans="1:25" ht="14">
      <c r="A62" s="106" t="s">
        <v>271</v>
      </c>
      <c r="B62" s="363" t="s">
        <v>92</v>
      </c>
      <c r="C62" s="364">
        <f>SUM(C44:C61)</f>
        <v>0</v>
      </c>
      <c r="D62" s="364">
        <f t="shared" ref="D62" si="23">SUM(D44:D61)</f>
        <v>0</v>
      </c>
      <c r="E62" s="364">
        <f t="shared" ref="E62" si="24">SUM(E44:E61)</f>
        <v>0</v>
      </c>
      <c r="F62" s="364">
        <f t="shared" ref="F62" si="25">SUM(F44:F61)</f>
        <v>0</v>
      </c>
      <c r="G62" s="364">
        <f t="shared" ref="G62" si="26">SUM(G44:G61)</f>
        <v>278176.14250999078</v>
      </c>
      <c r="H62" s="364">
        <f t="shared" ref="H62" si="27">SUM(H44:H61)</f>
        <v>289051.48399570672</v>
      </c>
      <c r="I62" s="364">
        <f t="shared" ref="I62" si="28">SUM(I44:I61)</f>
        <v>320510.9982536477</v>
      </c>
      <c r="J62" s="364">
        <f t="shared" ref="J62" si="29">SUM(J44:J61)</f>
        <v>293382.47199363</v>
      </c>
      <c r="K62" s="364">
        <f t="shared" ref="K62" si="30">SUM(K44:K61)</f>
        <v>308566.12143102521</v>
      </c>
      <c r="L62" s="364">
        <f t="shared" ref="L62" si="31">SUM(L44:L61)</f>
        <v>306758.97901914269</v>
      </c>
      <c r="M62" s="364">
        <f t="shared" ref="M62" si="32">SUM(M44:M61)</f>
        <v>307460.07635367214</v>
      </c>
      <c r="N62" s="364">
        <f t="shared" ref="N62:O62" si="33">SUM(N44:N61)</f>
        <v>302906.58109444682</v>
      </c>
      <c r="O62" s="364">
        <f t="shared" si="33"/>
        <v>280704.28909968713</v>
      </c>
    </row>
    <row r="64" spans="1:25" ht="16" thickBot="1">
      <c r="B64" s="357" t="s">
        <v>259</v>
      </c>
    </row>
    <row r="65" spans="1:16"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264</v>
      </c>
      <c r="B66" s="584" t="s">
        <v>839</v>
      </c>
      <c r="C66" s="478">
        <f>IFERROR('Energy balance'!C5*$Q66,0)</f>
        <v>0</v>
      </c>
      <c r="D66" s="478">
        <f>IFERROR('Energy balance'!D5*$Q66,0)</f>
        <v>0</v>
      </c>
      <c r="E66" s="478">
        <f>IFERROR('Energy balance'!E5*$Q66,0)</f>
        <v>0</v>
      </c>
      <c r="F66" s="478">
        <f>IFERROR(#REF!,0)</f>
        <v>0</v>
      </c>
      <c r="G66" s="591">
        <f>G135*$P66</f>
        <v>0</v>
      </c>
      <c r="H66" s="591">
        <f t="shared" ref="H66:O66" si="34">H135*$P66</f>
        <v>0</v>
      </c>
      <c r="I66" s="591">
        <f t="shared" si="34"/>
        <v>0</v>
      </c>
      <c r="J66" s="591">
        <f t="shared" si="34"/>
        <v>0</v>
      </c>
      <c r="K66" s="591">
        <f t="shared" si="34"/>
        <v>0</v>
      </c>
      <c r="L66" s="591">
        <f t="shared" si="34"/>
        <v>0</v>
      </c>
      <c r="M66" s="591">
        <f t="shared" si="34"/>
        <v>0</v>
      </c>
      <c r="N66" s="591">
        <f t="shared" si="34"/>
        <v>0</v>
      </c>
      <c r="O66" s="591">
        <f t="shared" si="34"/>
        <v>0</v>
      </c>
      <c r="P66">
        <v>0</v>
      </c>
    </row>
    <row r="67" spans="1:16" ht="14">
      <c r="A67" s="106" t="s">
        <v>264</v>
      </c>
      <c r="B67" s="638" t="s">
        <v>74</v>
      </c>
      <c r="C67" s="479">
        <f>IFERROR('Energy balance'!C6*#REF!,0)</f>
        <v>0</v>
      </c>
      <c r="D67" s="479">
        <f>IFERROR('Energy balance'!D6*#REF!,0)</f>
        <v>0</v>
      </c>
      <c r="E67" s="479">
        <f>IFERROR('Energy balance'!E6*#REF!,0)</f>
        <v>0</v>
      </c>
      <c r="F67" s="478">
        <f>IFERROR(#REF!,0)</f>
        <v>0</v>
      </c>
      <c r="G67" s="591">
        <f t="shared" ref="G67:O82" si="35">G136*$P67</f>
        <v>1574.1523014604768</v>
      </c>
      <c r="H67" s="591">
        <f t="shared" si="35"/>
        <v>1618.7991407658117</v>
      </c>
      <c r="I67" s="591">
        <f t="shared" si="35"/>
        <v>1939.7161748024944</v>
      </c>
      <c r="J67" s="591">
        <f t="shared" si="35"/>
        <v>1774.0074414258943</v>
      </c>
      <c r="K67" s="591">
        <f t="shared" si="35"/>
        <v>1878.4504554723662</v>
      </c>
      <c r="L67" s="591">
        <f t="shared" si="35"/>
        <v>1865.2854014126742</v>
      </c>
      <c r="M67" s="591">
        <f t="shared" si="35"/>
        <v>1870.486840174857</v>
      </c>
      <c r="N67" s="591">
        <f t="shared" si="35"/>
        <v>2091.7435783126152</v>
      </c>
      <c r="O67" s="591">
        <f t="shared" si="35"/>
        <v>1848.7052347280689</v>
      </c>
      <c r="P67">
        <v>4.6636959628790454E-3</v>
      </c>
    </row>
    <row r="68" spans="1:16" ht="14">
      <c r="A68" s="106" t="s">
        <v>264</v>
      </c>
      <c r="B68" s="638" t="s">
        <v>838</v>
      </c>
      <c r="C68" s="479">
        <f>IFERROR('Energy balance'!C7*#REF!,0)</f>
        <v>0</v>
      </c>
      <c r="D68" s="479">
        <f>IFERROR('Energy balance'!D7*#REF!,0)</f>
        <v>0</v>
      </c>
      <c r="E68" s="479">
        <f>IFERROR('Energy balance'!E7*#REF!,0)</f>
        <v>0</v>
      </c>
      <c r="F68" s="478">
        <f>IFERROR(#REF!,0)</f>
        <v>0</v>
      </c>
      <c r="G68" s="591">
        <f t="shared" si="35"/>
        <v>0</v>
      </c>
      <c r="H68" s="591">
        <f t="shared" si="35"/>
        <v>0</v>
      </c>
      <c r="I68" s="591">
        <f t="shared" si="35"/>
        <v>0</v>
      </c>
      <c r="J68" s="591">
        <f t="shared" si="35"/>
        <v>0</v>
      </c>
      <c r="K68" s="591">
        <f t="shared" si="35"/>
        <v>0</v>
      </c>
      <c r="L68" s="591">
        <f t="shared" si="35"/>
        <v>0</v>
      </c>
      <c r="M68" s="591">
        <f t="shared" si="35"/>
        <v>0</v>
      </c>
      <c r="N68" s="591">
        <f t="shared" si="35"/>
        <v>0</v>
      </c>
      <c r="O68" s="591">
        <f t="shared" si="35"/>
        <v>0</v>
      </c>
      <c r="P68">
        <v>0</v>
      </c>
    </row>
    <row r="69" spans="1:16" ht="14">
      <c r="A69" s="106" t="s">
        <v>264</v>
      </c>
      <c r="B69" s="638" t="s">
        <v>837</v>
      </c>
      <c r="C69" s="480">
        <f>IFERROR('Energy balance'!C8*#REF!,0)</f>
        <v>0</v>
      </c>
      <c r="D69" s="480">
        <f>IFERROR('Energy balance'!D8*#REF!,0)</f>
        <v>0</v>
      </c>
      <c r="E69" s="480">
        <f>IFERROR('Energy balance'!E8*#REF!,0)</f>
        <v>0</v>
      </c>
      <c r="F69" s="478">
        <f>IFERROR(#REF!,0)</f>
        <v>0</v>
      </c>
      <c r="G69" s="591">
        <f t="shared" si="35"/>
        <v>0</v>
      </c>
      <c r="H69" s="591">
        <f t="shared" si="35"/>
        <v>0</v>
      </c>
      <c r="I69" s="591">
        <f t="shared" si="35"/>
        <v>0</v>
      </c>
      <c r="J69" s="591">
        <f t="shared" si="35"/>
        <v>0</v>
      </c>
      <c r="K69" s="591">
        <f t="shared" si="35"/>
        <v>0</v>
      </c>
      <c r="L69" s="591">
        <f t="shared" si="35"/>
        <v>0</v>
      </c>
      <c r="M69" s="591">
        <f t="shared" si="35"/>
        <v>0</v>
      </c>
      <c r="N69" s="591">
        <f t="shared" si="35"/>
        <v>0</v>
      </c>
      <c r="O69" s="591">
        <f t="shared" si="35"/>
        <v>0</v>
      </c>
      <c r="P69">
        <v>0</v>
      </c>
    </row>
    <row r="70" spans="1:16" ht="14">
      <c r="A70" s="106" t="s">
        <v>264</v>
      </c>
      <c r="B70" s="638" t="s">
        <v>193</v>
      </c>
      <c r="C70" s="480">
        <f>IFERROR('Energy balance'!C9*#REF!,0)</f>
        <v>0</v>
      </c>
      <c r="D70" s="480">
        <f>IFERROR('Energy balance'!D9*#REF!,0)</f>
        <v>0</v>
      </c>
      <c r="E70" s="480">
        <f>IFERROR('Energy balance'!E9*#REF!,0)</f>
        <v>0</v>
      </c>
      <c r="F70" s="478">
        <f>IFERROR(#REF!,0)</f>
        <v>0</v>
      </c>
      <c r="G70" s="591">
        <f t="shared" si="35"/>
        <v>0</v>
      </c>
      <c r="H70" s="591">
        <f t="shared" si="35"/>
        <v>0</v>
      </c>
      <c r="I70" s="591">
        <f t="shared" si="35"/>
        <v>0</v>
      </c>
      <c r="J70" s="591">
        <f t="shared" si="35"/>
        <v>0</v>
      </c>
      <c r="K70" s="591">
        <f t="shared" si="35"/>
        <v>0</v>
      </c>
      <c r="L70" s="591">
        <f t="shared" si="35"/>
        <v>0</v>
      </c>
      <c r="M70" s="591">
        <f t="shared" si="35"/>
        <v>0</v>
      </c>
      <c r="N70" s="591">
        <f t="shared" si="35"/>
        <v>0</v>
      </c>
      <c r="O70" s="591">
        <f t="shared" si="35"/>
        <v>0</v>
      </c>
      <c r="P70">
        <v>0</v>
      </c>
    </row>
    <row r="71" spans="1:16" ht="14">
      <c r="A71" s="106" t="s">
        <v>264</v>
      </c>
      <c r="B71" s="638" t="s">
        <v>836</v>
      </c>
      <c r="C71" s="480">
        <f>IFERROR('Energy balance'!C10*#REF!,0)</f>
        <v>0</v>
      </c>
      <c r="D71" s="480">
        <f>IFERROR('Energy balance'!D10*#REF!,0)</f>
        <v>0</v>
      </c>
      <c r="E71" s="480">
        <f>IFERROR('Energy balance'!E10*#REF!,0)</f>
        <v>0</v>
      </c>
      <c r="F71" s="478">
        <f>IFERROR(#REF!,0)</f>
        <v>0</v>
      </c>
      <c r="G71" s="591">
        <f t="shared" si="35"/>
        <v>0</v>
      </c>
      <c r="H71" s="591">
        <f t="shared" si="35"/>
        <v>0</v>
      </c>
      <c r="I71" s="591">
        <f t="shared" si="35"/>
        <v>0</v>
      </c>
      <c r="J71" s="591">
        <f t="shared" si="35"/>
        <v>0</v>
      </c>
      <c r="K71" s="591">
        <f t="shared" si="35"/>
        <v>0</v>
      </c>
      <c r="L71" s="591">
        <f t="shared" si="35"/>
        <v>0</v>
      </c>
      <c r="M71" s="591">
        <f t="shared" si="35"/>
        <v>0</v>
      </c>
      <c r="N71" s="591">
        <f t="shared" si="35"/>
        <v>0</v>
      </c>
      <c r="O71" s="591">
        <f t="shared" si="35"/>
        <v>0</v>
      </c>
      <c r="P71">
        <v>0</v>
      </c>
    </row>
    <row r="72" spans="1:16" ht="14">
      <c r="A72" s="106" t="s">
        <v>264</v>
      </c>
      <c r="B72" s="638" t="s">
        <v>834</v>
      </c>
      <c r="C72" s="480">
        <f>IFERROR('Energy balance'!C11*#REF!,0)</f>
        <v>0</v>
      </c>
      <c r="D72" s="480">
        <f>IFERROR('Energy balance'!D11*#REF!,0)</f>
        <v>0</v>
      </c>
      <c r="E72" s="480">
        <f>IFERROR('Energy balance'!E11*#REF!,0)</f>
        <v>0</v>
      </c>
      <c r="F72" s="478">
        <f>IFERROR(#REF!,0)</f>
        <v>0</v>
      </c>
      <c r="G72" s="591">
        <f t="shared" si="35"/>
        <v>0</v>
      </c>
      <c r="H72" s="591">
        <f t="shared" si="35"/>
        <v>0</v>
      </c>
      <c r="I72" s="591">
        <f t="shared" si="35"/>
        <v>0</v>
      </c>
      <c r="J72" s="591">
        <f t="shared" si="35"/>
        <v>0</v>
      </c>
      <c r="K72" s="591">
        <f t="shared" si="35"/>
        <v>0</v>
      </c>
      <c r="L72" s="591">
        <f t="shared" si="35"/>
        <v>0</v>
      </c>
      <c r="M72" s="591">
        <f t="shared" si="35"/>
        <v>0</v>
      </c>
      <c r="N72" s="591">
        <f t="shared" si="35"/>
        <v>0</v>
      </c>
      <c r="O72" s="591">
        <f t="shared" si="35"/>
        <v>0</v>
      </c>
      <c r="P72">
        <v>0</v>
      </c>
    </row>
    <row r="73" spans="1:16" ht="14">
      <c r="A73" s="106" t="s">
        <v>264</v>
      </c>
      <c r="B73" s="638" t="s">
        <v>833</v>
      </c>
      <c r="C73" s="480">
        <f>IFERROR('Energy balance'!C12*#REF!,0)</f>
        <v>0</v>
      </c>
      <c r="D73" s="480">
        <f>IFERROR('Energy balance'!D12*#REF!,0)</f>
        <v>0</v>
      </c>
      <c r="E73" s="480">
        <f>IFERROR('Energy balance'!E12*#REF!,0)</f>
        <v>0</v>
      </c>
      <c r="F73" s="478">
        <f>IFERROR(#REF!,0)</f>
        <v>0</v>
      </c>
      <c r="G73" s="591">
        <f t="shared" si="35"/>
        <v>0</v>
      </c>
      <c r="H73" s="591">
        <f t="shared" si="35"/>
        <v>0</v>
      </c>
      <c r="I73" s="591">
        <f t="shared" si="35"/>
        <v>0</v>
      </c>
      <c r="J73" s="591">
        <f t="shared" si="35"/>
        <v>0</v>
      </c>
      <c r="K73" s="591">
        <f t="shared" si="35"/>
        <v>0</v>
      </c>
      <c r="L73" s="591">
        <f t="shared" si="35"/>
        <v>0</v>
      </c>
      <c r="M73" s="591">
        <f t="shared" si="35"/>
        <v>0</v>
      </c>
      <c r="N73" s="591">
        <f t="shared" si="35"/>
        <v>0</v>
      </c>
      <c r="O73" s="591">
        <f t="shared" si="35"/>
        <v>0</v>
      </c>
      <c r="P73">
        <v>0</v>
      </c>
    </row>
    <row r="74" spans="1:16" ht="14">
      <c r="A74" s="106" t="s">
        <v>264</v>
      </c>
      <c r="B74" s="638" t="s">
        <v>832</v>
      </c>
      <c r="C74" s="479">
        <f>IFERROR('Energy balance'!C13*#REF!,0)</f>
        <v>0</v>
      </c>
      <c r="D74" s="479">
        <f>IFERROR('Energy balance'!D13*#REF!,0)</f>
        <v>0</v>
      </c>
      <c r="E74" s="479">
        <f>IFERROR('Energy balance'!E13*#REF!,0)</f>
        <v>0</v>
      </c>
      <c r="F74" s="478">
        <f>IFERROR(#REF!,0)</f>
        <v>0</v>
      </c>
      <c r="G74" s="591">
        <f t="shared" si="35"/>
        <v>0</v>
      </c>
      <c r="H74" s="591">
        <f t="shared" si="35"/>
        <v>0</v>
      </c>
      <c r="I74" s="591">
        <f t="shared" si="35"/>
        <v>0</v>
      </c>
      <c r="J74" s="591">
        <f t="shared" si="35"/>
        <v>0</v>
      </c>
      <c r="K74" s="591">
        <f t="shared" si="35"/>
        <v>0</v>
      </c>
      <c r="L74" s="591">
        <f t="shared" si="35"/>
        <v>0</v>
      </c>
      <c r="M74" s="591">
        <f t="shared" si="35"/>
        <v>0</v>
      </c>
      <c r="N74" s="591">
        <f t="shared" si="35"/>
        <v>0</v>
      </c>
      <c r="O74" s="591">
        <f t="shared" si="35"/>
        <v>0</v>
      </c>
      <c r="P74">
        <v>0</v>
      </c>
    </row>
    <row r="75" spans="1:16" ht="14">
      <c r="A75" s="106" t="s">
        <v>264</v>
      </c>
      <c r="B75" s="638" t="s">
        <v>831</v>
      </c>
      <c r="C75" s="479">
        <f>IFERROR('Energy balance'!C14*#REF!,0)</f>
        <v>0</v>
      </c>
      <c r="D75" s="479">
        <f>IFERROR('Energy balance'!D14*#REF!,0)</f>
        <v>0</v>
      </c>
      <c r="E75" s="479">
        <f>IFERROR('Energy balance'!E14*#REF!,0)</f>
        <v>0</v>
      </c>
      <c r="F75" s="478">
        <f>IFERROR(#REF!,0)</f>
        <v>0</v>
      </c>
      <c r="G75" s="591">
        <f t="shared" si="35"/>
        <v>0</v>
      </c>
      <c r="H75" s="591">
        <f t="shared" si="35"/>
        <v>0</v>
      </c>
      <c r="I75" s="591">
        <f t="shared" si="35"/>
        <v>0</v>
      </c>
      <c r="J75" s="591">
        <f t="shared" si="35"/>
        <v>0</v>
      </c>
      <c r="K75" s="591">
        <f t="shared" si="35"/>
        <v>0</v>
      </c>
      <c r="L75" s="591">
        <f t="shared" si="35"/>
        <v>0</v>
      </c>
      <c r="M75" s="591">
        <f t="shared" si="35"/>
        <v>0</v>
      </c>
      <c r="N75" s="591">
        <f t="shared" si="35"/>
        <v>0</v>
      </c>
      <c r="O75" s="591">
        <f t="shared" si="35"/>
        <v>0</v>
      </c>
      <c r="P75">
        <v>0</v>
      </c>
    </row>
    <row r="76" spans="1:16" ht="14">
      <c r="A76" s="106" t="s">
        <v>264</v>
      </c>
      <c r="B76" s="638" t="s">
        <v>73</v>
      </c>
      <c r="C76" s="479">
        <f>IFERROR('Energy balance'!C15*#REF!,0)</f>
        <v>0</v>
      </c>
      <c r="D76" s="479">
        <f>IFERROR('Energy balance'!D15*#REF!,0)</f>
        <v>0</v>
      </c>
      <c r="E76" s="479">
        <f>IFERROR('Energy balance'!E15*#REF!,0)</f>
        <v>0</v>
      </c>
      <c r="F76" s="478">
        <f>IFERROR(#REF!,0)</f>
        <v>0</v>
      </c>
      <c r="G76" s="591">
        <f t="shared" si="35"/>
        <v>150006.09594679344</v>
      </c>
      <c r="H76" s="591">
        <f t="shared" si="35"/>
        <v>153201.97655828149</v>
      </c>
      <c r="I76" s="591">
        <f t="shared" si="35"/>
        <v>156340.63065744261</v>
      </c>
      <c r="J76" s="591">
        <f t="shared" si="35"/>
        <v>144733.55324374966</v>
      </c>
      <c r="K76" s="591">
        <f t="shared" si="35"/>
        <v>154881.35459310611</v>
      </c>
      <c r="L76" s="591">
        <f t="shared" si="35"/>
        <v>155815.68745782835</v>
      </c>
      <c r="M76" s="591">
        <f t="shared" si="35"/>
        <v>152701.24457542092</v>
      </c>
      <c r="N76" s="591">
        <f t="shared" si="35"/>
        <v>146885.05000527139</v>
      </c>
      <c r="O76" s="591">
        <f t="shared" si="35"/>
        <v>143037.66756113843</v>
      </c>
      <c r="P76">
        <v>0.305697181233551</v>
      </c>
    </row>
    <row r="77" spans="1:16" ht="14">
      <c r="A77" s="106" t="s">
        <v>264</v>
      </c>
      <c r="B77" s="638" t="s">
        <v>200</v>
      </c>
      <c r="C77" s="479">
        <f>IFERROR('Energy balance'!C16*#REF!,0)</f>
        <v>0</v>
      </c>
      <c r="D77" s="479">
        <f>IFERROR('Energy balance'!D16*#REF!,0)</f>
        <v>0</v>
      </c>
      <c r="E77" s="479">
        <f>IFERROR('Energy balance'!E16*#REF!,0)</f>
        <v>0</v>
      </c>
      <c r="F77" s="478">
        <f>IFERROR(#REF!,0)</f>
        <v>0</v>
      </c>
      <c r="G77" s="591">
        <f t="shared" si="35"/>
        <v>0</v>
      </c>
      <c r="H77" s="591">
        <f t="shared" si="35"/>
        <v>0</v>
      </c>
      <c r="I77" s="591">
        <f t="shared" si="35"/>
        <v>0</v>
      </c>
      <c r="J77" s="591">
        <f t="shared" si="35"/>
        <v>0</v>
      </c>
      <c r="K77" s="591">
        <f t="shared" si="35"/>
        <v>0</v>
      </c>
      <c r="L77" s="591">
        <f t="shared" si="35"/>
        <v>0</v>
      </c>
      <c r="M77" s="591">
        <f t="shared" si="35"/>
        <v>0</v>
      </c>
      <c r="N77" s="591">
        <f t="shared" si="35"/>
        <v>0</v>
      </c>
      <c r="O77" s="591">
        <f t="shared" si="35"/>
        <v>0</v>
      </c>
      <c r="P77">
        <v>0</v>
      </c>
    </row>
    <row r="78" spans="1:16" ht="14">
      <c r="A78" s="106" t="s">
        <v>264</v>
      </c>
      <c r="B78" s="639" t="s">
        <v>859</v>
      </c>
      <c r="C78" s="479">
        <f>IFERROR('Energy balance'!C17*#REF!,0)</f>
        <v>0</v>
      </c>
      <c r="D78" s="479">
        <f>IFERROR('Energy balance'!D17*#REF!,0)</f>
        <v>0</v>
      </c>
      <c r="E78" s="479">
        <f>IFERROR('Energy balance'!E17*#REF!,0)</f>
        <v>0</v>
      </c>
      <c r="F78" s="478">
        <f>IFERROR(#REF!,0)</f>
        <v>0</v>
      </c>
      <c r="G78" s="591">
        <f t="shared" si="35"/>
        <v>0</v>
      </c>
      <c r="H78" s="591">
        <f t="shared" si="35"/>
        <v>0</v>
      </c>
      <c r="I78" s="591">
        <f t="shared" si="35"/>
        <v>0</v>
      </c>
      <c r="J78" s="591">
        <f t="shared" si="35"/>
        <v>0</v>
      </c>
      <c r="K78" s="591">
        <f t="shared" si="35"/>
        <v>0</v>
      </c>
      <c r="L78" s="591">
        <f t="shared" si="35"/>
        <v>0</v>
      </c>
      <c r="M78" s="591">
        <f t="shared" si="35"/>
        <v>0</v>
      </c>
      <c r="N78" s="591">
        <f t="shared" si="35"/>
        <v>0</v>
      </c>
      <c r="O78" s="591">
        <f t="shared" si="35"/>
        <v>0</v>
      </c>
      <c r="P78">
        <v>0</v>
      </c>
    </row>
    <row r="79" spans="1:16" ht="14">
      <c r="A79" s="106" t="s">
        <v>264</v>
      </c>
      <c r="B79" s="639" t="s">
        <v>860</v>
      </c>
      <c r="C79" s="479">
        <f>IFERROR('Energy balance'!C18*#REF!,0)</f>
        <v>0</v>
      </c>
      <c r="D79" s="479">
        <f>IFERROR('Energy balance'!D18*#REF!,0)</f>
        <v>0</v>
      </c>
      <c r="E79" s="480">
        <f>IFERROR('Energy balance'!E18*#REF!,0)</f>
        <v>0</v>
      </c>
      <c r="F79" s="480">
        <f>IFERROR('Energy balance'!F18*#REF!,0)</f>
        <v>0</v>
      </c>
      <c r="G79" s="591">
        <f t="shared" si="35"/>
        <v>0</v>
      </c>
      <c r="H79" s="591">
        <f t="shared" si="35"/>
        <v>0</v>
      </c>
      <c r="I79" s="591">
        <f t="shared" si="35"/>
        <v>0</v>
      </c>
      <c r="J79" s="591">
        <f t="shared" si="35"/>
        <v>0</v>
      </c>
      <c r="K79" s="591">
        <f t="shared" si="35"/>
        <v>0</v>
      </c>
      <c r="L79" s="591">
        <f t="shared" si="35"/>
        <v>0</v>
      </c>
      <c r="M79" s="591">
        <f t="shared" si="35"/>
        <v>0</v>
      </c>
      <c r="N79" s="591">
        <f t="shared" si="35"/>
        <v>0</v>
      </c>
      <c r="O79" s="591">
        <f t="shared" si="35"/>
        <v>0</v>
      </c>
      <c r="P79">
        <v>0</v>
      </c>
    </row>
    <row r="80" spans="1:16" ht="14">
      <c r="A80" s="106" t="s">
        <v>264</v>
      </c>
      <c r="B80" s="638" t="s">
        <v>835</v>
      </c>
      <c r="C80" s="479">
        <f>IFERROR('Energy balance'!C19*#REF!,0)</f>
        <v>0</v>
      </c>
      <c r="D80" s="479">
        <f>IFERROR('Energy balance'!D19*#REF!,0)</f>
        <v>0</v>
      </c>
      <c r="E80" s="479">
        <f>IFERROR('Energy balance'!E19*#REF!,0)</f>
        <v>0</v>
      </c>
      <c r="F80" s="479">
        <f>IFERROR('Energy balance'!F19*#REF!,0)</f>
        <v>0</v>
      </c>
      <c r="G80" s="591">
        <f t="shared" si="35"/>
        <v>1485.8612534050822</v>
      </c>
      <c r="H80" s="591">
        <f t="shared" si="35"/>
        <v>1613.087753652215</v>
      </c>
      <c r="I80" s="591">
        <f t="shared" si="35"/>
        <v>1692.292917387213</v>
      </c>
      <c r="J80" s="591">
        <f t="shared" si="35"/>
        <v>1488.0660467302071</v>
      </c>
      <c r="K80" s="591">
        <f t="shared" si="35"/>
        <v>1635.3011692125031</v>
      </c>
      <c r="L80" s="591">
        <f t="shared" si="35"/>
        <v>1622.3642523468266</v>
      </c>
      <c r="M80" s="591">
        <f t="shared" si="35"/>
        <v>1691.5667325620607</v>
      </c>
      <c r="N80" s="591">
        <f t="shared" si="35"/>
        <v>1739.1629602526471</v>
      </c>
      <c r="O80" s="591">
        <f t="shared" si="35"/>
        <v>1779.1058678917316</v>
      </c>
      <c r="P80">
        <v>1.9728458397460666E-2</v>
      </c>
    </row>
    <row r="81" spans="1:17" ht="14">
      <c r="A81" s="106" t="s">
        <v>264</v>
      </c>
      <c r="B81" s="584" t="s">
        <v>908</v>
      </c>
      <c r="C81" s="481">
        <f>IFERROR('Energy balance'!C20*#REF!,0)</f>
        <v>0</v>
      </c>
      <c r="D81" s="479">
        <f>IFERROR('Energy balance'!D20*#REF!,0)</f>
        <v>0</v>
      </c>
      <c r="E81" s="479">
        <f>IFERROR('Energy balance'!E20*#REF!,0)</f>
        <v>0</v>
      </c>
      <c r="F81" s="479">
        <f>IFERROR('Energy balance'!F20*#REF!,0)</f>
        <v>0</v>
      </c>
      <c r="G81" s="591">
        <f t="shared" si="35"/>
        <v>0</v>
      </c>
      <c r="H81" s="591">
        <f t="shared" si="35"/>
        <v>0</v>
      </c>
      <c r="I81" s="591">
        <f t="shared" si="35"/>
        <v>0</v>
      </c>
      <c r="J81" s="591">
        <f t="shared" si="35"/>
        <v>0</v>
      </c>
      <c r="K81" s="591">
        <f t="shared" si="35"/>
        <v>0</v>
      </c>
      <c r="L81" s="591">
        <f t="shared" si="35"/>
        <v>0</v>
      </c>
      <c r="M81" s="591">
        <f t="shared" si="35"/>
        <v>0</v>
      </c>
      <c r="N81" s="591">
        <f t="shared" si="35"/>
        <v>0</v>
      </c>
      <c r="O81" s="591">
        <f t="shared" si="35"/>
        <v>0</v>
      </c>
    </row>
    <row r="82" spans="1:17" ht="14">
      <c r="A82" s="106" t="s">
        <v>264</v>
      </c>
      <c r="B82" s="584" t="s">
        <v>939</v>
      </c>
      <c r="C82" s="479">
        <f>IFERROR('Energy balance'!C21*#REF!,0)</f>
        <v>0</v>
      </c>
      <c r="D82" s="479">
        <f>IFERROR('Energy balance'!D21*#REF!,0)</f>
        <v>0</v>
      </c>
      <c r="E82" s="480">
        <f>IFERROR('Energy balance'!E21*#REF!,0)</f>
        <v>0</v>
      </c>
      <c r="F82" s="480">
        <f>IFERROR('Energy balance'!F21*#REF!,0)</f>
        <v>0</v>
      </c>
      <c r="G82" s="591">
        <f t="shared" si="35"/>
        <v>0</v>
      </c>
      <c r="H82" s="591">
        <f t="shared" si="35"/>
        <v>0</v>
      </c>
      <c r="I82" s="591">
        <f t="shared" si="35"/>
        <v>0</v>
      </c>
      <c r="J82" s="591">
        <f t="shared" si="35"/>
        <v>0</v>
      </c>
      <c r="K82" s="591">
        <f t="shared" si="35"/>
        <v>0</v>
      </c>
      <c r="L82" s="591">
        <f t="shared" si="35"/>
        <v>0</v>
      </c>
      <c r="M82" s="591">
        <f t="shared" si="35"/>
        <v>0</v>
      </c>
      <c r="N82" s="591">
        <f t="shared" si="35"/>
        <v>0</v>
      </c>
      <c r="O82" s="591">
        <f t="shared" si="35"/>
        <v>0</v>
      </c>
    </row>
    <row r="83" spans="1:17" ht="14.5" thickBot="1">
      <c r="A83" s="106" t="s">
        <v>264</v>
      </c>
      <c r="B83" s="326"/>
      <c r="C83" s="482">
        <f>IFERROR('Energy balance'!C22*#REF!,0)</f>
        <v>0</v>
      </c>
      <c r="D83" s="482">
        <f>IFERROR('Energy balance'!D22*#REF!,0)</f>
        <v>0</v>
      </c>
      <c r="E83" s="482">
        <f>IFERROR('Energy balance'!E22*#REF!,0)</f>
        <v>0</v>
      </c>
      <c r="F83" s="482">
        <f>IFERROR('Energy balance'!F22*#REF!,0)</f>
        <v>0</v>
      </c>
      <c r="G83" s="591"/>
      <c r="H83" s="591"/>
      <c r="I83" s="591"/>
      <c r="J83" s="591"/>
      <c r="K83" s="591"/>
      <c r="L83" s="591"/>
      <c r="M83" s="591"/>
      <c r="N83" s="591"/>
      <c r="O83" s="591"/>
    </row>
    <row r="84" spans="1:17" ht="14">
      <c r="B84" s="363" t="s">
        <v>92</v>
      </c>
      <c r="C84" s="364">
        <f>SUM(C66:C83)</f>
        <v>0</v>
      </c>
      <c r="D84" s="364">
        <f t="shared" ref="D84" si="36">SUM(D66:D83)</f>
        <v>0</v>
      </c>
      <c r="E84" s="364">
        <f t="shared" ref="E84" si="37">SUM(E66:E83)</f>
        <v>0</v>
      </c>
      <c r="F84" s="364">
        <f t="shared" ref="F84" si="38">SUM(F66:F83)</f>
        <v>0</v>
      </c>
      <c r="G84" s="364">
        <f t="shared" ref="G84" si="39">SUM(G66:G83)</f>
        <v>153066.109501659</v>
      </c>
      <c r="H84" s="364">
        <f t="shared" ref="H84" si="40">SUM(H66:H83)</f>
        <v>156433.8634526995</v>
      </c>
      <c r="I84" s="364">
        <f t="shared" ref="I84" si="41">SUM(I66:I83)</f>
        <v>159972.6397496323</v>
      </c>
      <c r="J84" s="364">
        <f t="shared" ref="J84" si="42">SUM(J66:J83)</f>
        <v>147995.62673190577</v>
      </c>
      <c r="K84" s="364">
        <f t="shared" ref="K84" si="43">SUM(K66:K83)</f>
        <v>158395.10621779098</v>
      </c>
      <c r="L84" s="364">
        <f t="shared" ref="L84" si="44">SUM(L66:L83)</f>
        <v>159303.33711158784</v>
      </c>
      <c r="M84" s="364">
        <f t="shared" ref="M84" si="45">SUM(M66:M83)</f>
        <v>156263.29814815783</v>
      </c>
      <c r="N84" s="364">
        <f t="shared" ref="N84:O84" si="46">SUM(N66:N83)</f>
        <v>150715.95654383666</v>
      </c>
      <c r="O84" s="364">
        <f>SUM(O66:O83)</f>
        <v>146665.4786637582</v>
      </c>
    </row>
    <row r="86" spans="1:17" ht="16" thickBot="1">
      <c r="B86" s="357" t="s">
        <v>858</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272</v>
      </c>
      <c r="B88" s="584" t="s">
        <v>839</v>
      </c>
      <c r="C88" s="478">
        <f>IFERROR('Energy balance'!C5*#REF!,0)</f>
        <v>0</v>
      </c>
      <c r="D88" s="478">
        <f>IFERROR('Energy balance'!D5*#REF!,0)</f>
        <v>0</v>
      </c>
      <c r="E88" s="478">
        <f>IFERROR('Energy balance'!E5*#REF!,0)</f>
        <v>0</v>
      </c>
      <c r="F88" s="591">
        <f>(IFERROR(#REF!,0))+(IFERROR(#REF!,0))</f>
        <v>0</v>
      </c>
      <c r="G88" s="591">
        <f>G135*$P88</f>
        <v>0</v>
      </c>
      <c r="H88" s="591">
        <f t="shared" ref="H88:O88" si="47">H135*$P88</f>
        <v>0</v>
      </c>
      <c r="I88" s="591">
        <f t="shared" si="47"/>
        <v>0</v>
      </c>
      <c r="J88" s="591">
        <f t="shared" si="47"/>
        <v>0</v>
      </c>
      <c r="K88" s="591">
        <f t="shared" si="47"/>
        <v>0</v>
      </c>
      <c r="L88" s="591">
        <f t="shared" si="47"/>
        <v>0</v>
      </c>
      <c r="M88" s="591">
        <f t="shared" si="47"/>
        <v>0</v>
      </c>
      <c r="N88" s="591">
        <f t="shared" si="47"/>
        <v>0</v>
      </c>
      <c r="O88" s="591">
        <f t="shared" si="47"/>
        <v>0</v>
      </c>
      <c r="P88">
        <v>0</v>
      </c>
    </row>
    <row r="89" spans="1:17" ht="14">
      <c r="A89" s="106" t="s">
        <v>272</v>
      </c>
      <c r="B89" s="638" t="s">
        <v>74</v>
      </c>
      <c r="C89" s="479">
        <f>IFERROR('Energy balance'!C6*#REF!,0)</f>
        <v>0</v>
      </c>
      <c r="D89" s="479">
        <f>IFERROR('Energy balance'!D6*#REF!,0)</f>
        <v>0</v>
      </c>
      <c r="E89" s="479">
        <f>IFERROR('Energy balance'!E6*#REF!,0)</f>
        <v>0</v>
      </c>
      <c r="F89" s="590">
        <f>(IFERROR(#REF!,0))+(IFERROR(#REF!,0))</f>
        <v>0</v>
      </c>
      <c r="G89" s="591">
        <f t="shared" ref="G89:O104" si="48">G136*$P89</f>
        <v>0</v>
      </c>
      <c r="H89" s="591">
        <f t="shared" si="48"/>
        <v>0</v>
      </c>
      <c r="I89" s="591">
        <f t="shared" si="48"/>
        <v>0</v>
      </c>
      <c r="J89" s="591">
        <f t="shared" si="48"/>
        <v>0</v>
      </c>
      <c r="K89" s="591">
        <f t="shared" si="48"/>
        <v>0</v>
      </c>
      <c r="L89" s="591">
        <f t="shared" si="48"/>
        <v>0</v>
      </c>
      <c r="M89" s="591">
        <f t="shared" si="48"/>
        <v>0</v>
      </c>
      <c r="N89" s="591">
        <f t="shared" si="48"/>
        <v>0</v>
      </c>
      <c r="O89" s="591">
        <f t="shared" si="48"/>
        <v>0</v>
      </c>
      <c r="P89">
        <v>0</v>
      </c>
    </row>
    <row r="90" spans="1:17" ht="14">
      <c r="A90" s="106" t="s">
        <v>272</v>
      </c>
      <c r="B90" s="638" t="s">
        <v>838</v>
      </c>
      <c r="C90" s="479">
        <f>IFERROR('Energy balance'!C7*#REF!,0)</f>
        <v>0</v>
      </c>
      <c r="D90" s="479">
        <f>IFERROR('Energy balance'!D7*#REF!,0)</f>
        <v>0</v>
      </c>
      <c r="E90" s="479">
        <f>IFERROR('Energy balance'!E7*#REF!,0)</f>
        <v>0</v>
      </c>
      <c r="F90" s="590">
        <f>(IFERROR(#REF!,0))+(IFERROR(#REF!,0))</f>
        <v>0</v>
      </c>
      <c r="G90" s="591">
        <f t="shared" si="48"/>
        <v>0</v>
      </c>
      <c r="H90" s="591">
        <f t="shared" si="48"/>
        <v>0</v>
      </c>
      <c r="I90" s="591">
        <f t="shared" si="48"/>
        <v>0</v>
      </c>
      <c r="J90" s="591">
        <f t="shared" si="48"/>
        <v>0</v>
      </c>
      <c r="K90" s="591">
        <f t="shared" si="48"/>
        <v>0</v>
      </c>
      <c r="L90" s="591">
        <f t="shared" si="48"/>
        <v>0</v>
      </c>
      <c r="M90" s="591">
        <f t="shared" si="48"/>
        <v>0</v>
      </c>
      <c r="N90" s="591">
        <f t="shared" si="48"/>
        <v>0</v>
      </c>
      <c r="O90" s="591">
        <f t="shared" si="48"/>
        <v>0</v>
      </c>
      <c r="P90">
        <v>0</v>
      </c>
    </row>
    <row r="91" spans="1:17" ht="14">
      <c r="A91" s="106" t="s">
        <v>272</v>
      </c>
      <c r="B91" s="638" t="s">
        <v>837</v>
      </c>
      <c r="C91" s="480">
        <f>IFERROR('Energy balance'!C8*#REF!,0)</f>
        <v>0</v>
      </c>
      <c r="D91" s="480">
        <f>IFERROR('Energy balance'!D8*#REF!,0)</f>
        <v>0</v>
      </c>
      <c r="E91" s="480">
        <f>IFERROR('Energy balance'!E8*#REF!,0)</f>
        <v>0</v>
      </c>
      <c r="F91" s="590">
        <f>(IFERROR(#REF!,0))+(IFERROR(#REF!,0))</f>
        <v>0</v>
      </c>
      <c r="G91" s="591">
        <f t="shared" si="48"/>
        <v>0</v>
      </c>
      <c r="H91" s="591">
        <f t="shared" si="48"/>
        <v>0</v>
      </c>
      <c r="I91" s="591">
        <f t="shared" si="48"/>
        <v>0</v>
      </c>
      <c r="J91" s="591">
        <f t="shared" si="48"/>
        <v>0</v>
      </c>
      <c r="K91" s="591">
        <f t="shared" si="48"/>
        <v>0</v>
      </c>
      <c r="L91" s="591">
        <f t="shared" si="48"/>
        <v>0</v>
      </c>
      <c r="M91" s="591">
        <f t="shared" si="48"/>
        <v>0</v>
      </c>
      <c r="N91" s="591">
        <f t="shared" si="48"/>
        <v>0</v>
      </c>
      <c r="O91" s="591">
        <f t="shared" si="48"/>
        <v>0</v>
      </c>
      <c r="P91">
        <v>9.1552939325786151E-3</v>
      </c>
    </row>
    <row r="92" spans="1:17" ht="14">
      <c r="A92" s="106" t="s">
        <v>272</v>
      </c>
      <c r="B92" s="638" t="s">
        <v>193</v>
      </c>
      <c r="C92" s="480">
        <f>IFERROR('Energy balance'!C9*#REF!,0)</f>
        <v>0</v>
      </c>
      <c r="D92" s="480">
        <f>IFERROR('Energy balance'!D9*#REF!,0)</f>
        <v>0</v>
      </c>
      <c r="E92" s="480">
        <f>IFERROR('Energy balance'!E9*#REF!,0)</f>
        <v>0</v>
      </c>
      <c r="F92" s="590">
        <f>(IFERROR(#REF!,0))+(IFERROR(#REF!,0))</f>
        <v>0</v>
      </c>
      <c r="G92" s="591">
        <f t="shared" si="48"/>
        <v>0</v>
      </c>
      <c r="H92" s="591">
        <f t="shared" si="48"/>
        <v>0</v>
      </c>
      <c r="I92" s="591">
        <f t="shared" si="48"/>
        <v>0</v>
      </c>
      <c r="J92" s="591">
        <f t="shared" si="48"/>
        <v>0</v>
      </c>
      <c r="K92" s="591">
        <f t="shared" si="48"/>
        <v>0</v>
      </c>
      <c r="L92" s="591">
        <f t="shared" si="48"/>
        <v>0</v>
      </c>
      <c r="M92" s="591">
        <f t="shared" si="48"/>
        <v>0</v>
      </c>
      <c r="N92" s="591">
        <f t="shared" si="48"/>
        <v>0</v>
      </c>
      <c r="O92" s="591">
        <f t="shared" si="48"/>
        <v>0</v>
      </c>
      <c r="P92">
        <v>1</v>
      </c>
    </row>
    <row r="93" spans="1:17" ht="14">
      <c r="A93" s="106" t="s">
        <v>272</v>
      </c>
      <c r="B93" s="638" t="s">
        <v>836</v>
      </c>
      <c r="C93" s="480">
        <f>IFERROR('Energy balance'!C10*$Q93,0)</f>
        <v>0</v>
      </c>
      <c r="D93" s="480">
        <f>IFERROR('Energy balance'!D10*$Q93,0)</f>
        <v>0</v>
      </c>
      <c r="E93" s="480">
        <f>IFERROR('Energy balance'!E10*$Q93,0)</f>
        <v>0</v>
      </c>
      <c r="F93" s="590">
        <f>(IFERROR(#REF!,0))+(IFERROR(#REF!,0))</f>
        <v>0</v>
      </c>
      <c r="G93" s="591">
        <f t="shared" si="48"/>
        <v>0</v>
      </c>
      <c r="H93" s="591">
        <f t="shared" si="48"/>
        <v>0</v>
      </c>
      <c r="I93" s="591">
        <f t="shared" si="48"/>
        <v>0</v>
      </c>
      <c r="J93" s="591">
        <f t="shared" si="48"/>
        <v>0</v>
      </c>
      <c r="K93" s="591">
        <f t="shared" si="48"/>
        <v>0</v>
      </c>
      <c r="L93" s="591">
        <f t="shared" si="48"/>
        <v>0</v>
      </c>
      <c r="M93" s="591">
        <f t="shared" si="48"/>
        <v>0</v>
      </c>
      <c r="N93" s="591">
        <f t="shared" si="48"/>
        <v>0</v>
      </c>
      <c r="O93" s="591">
        <f t="shared" si="48"/>
        <v>0</v>
      </c>
      <c r="P93">
        <v>0</v>
      </c>
      <c r="Q93" s="106"/>
    </row>
    <row r="94" spans="1:17" ht="14">
      <c r="A94" s="106" t="s">
        <v>272</v>
      </c>
      <c r="B94" s="638" t="s">
        <v>834</v>
      </c>
      <c r="C94" s="480">
        <f>IFERROR('Energy balance'!C11*$Q94,0)</f>
        <v>0</v>
      </c>
      <c r="D94" s="480">
        <f>IFERROR('Energy balance'!D11*$Q94,0)</f>
        <v>0</v>
      </c>
      <c r="E94" s="480">
        <f>IFERROR('Energy balance'!E11*$Q94,0)</f>
        <v>0</v>
      </c>
      <c r="F94" s="590">
        <f>(IFERROR(#REF!,0))+(IFERROR(#REF!,0))</f>
        <v>0</v>
      </c>
      <c r="G94" s="591">
        <f t="shared" si="48"/>
        <v>0</v>
      </c>
      <c r="H94" s="591">
        <f t="shared" si="48"/>
        <v>0</v>
      </c>
      <c r="I94" s="591">
        <f t="shared" si="48"/>
        <v>0</v>
      </c>
      <c r="J94" s="591">
        <f t="shared" si="48"/>
        <v>0</v>
      </c>
      <c r="K94" s="591">
        <f t="shared" si="48"/>
        <v>0</v>
      </c>
      <c r="L94" s="591">
        <f t="shared" si="48"/>
        <v>0</v>
      </c>
      <c r="M94" s="591">
        <f t="shared" si="48"/>
        <v>0</v>
      </c>
      <c r="N94" s="591">
        <f t="shared" si="48"/>
        <v>0</v>
      </c>
      <c r="O94" s="591">
        <f t="shared" si="48"/>
        <v>0</v>
      </c>
      <c r="P94">
        <v>0</v>
      </c>
      <c r="Q94" s="106"/>
    </row>
    <row r="95" spans="1:17" ht="14">
      <c r="A95" s="106" t="s">
        <v>272</v>
      </c>
      <c r="B95" s="638" t="s">
        <v>833</v>
      </c>
      <c r="C95" s="480">
        <f>IFERROR('Energy balance'!C12*$Q95,0)</f>
        <v>0</v>
      </c>
      <c r="D95" s="480">
        <f>IFERROR('Energy balance'!D12*$Q95,0)</f>
        <v>0</v>
      </c>
      <c r="E95" s="480">
        <f>IFERROR('Energy balance'!E12*$Q95,0)</f>
        <v>0</v>
      </c>
      <c r="F95" s="590">
        <f>(IFERROR(#REF!,0))+(IFERROR(#REF!,0))</f>
        <v>0</v>
      </c>
      <c r="G95" s="591">
        <f t="shared" si="48"/>
        <v>0</v>
      </c>
      <c r="H95" s="591">
        <f t="shared" si="48"/>
        <v>0</v>
      </c>
      <c r="I95" s="591">
        <f t="shared" si="48"/>
        <v>0</v>
      </c>
      <c r="J95" s="591">
        <f t="shared" si="48"/>
        <v>0</v>
      </c>
      <c r="K95" s="591">
        <f t="shared" si="48"/>
        <v>0</v>
      </c>
      <c r="L95" s="591">
        <f t="shared" si="48"/>
        <v>0</v>
      </c>
      <c r="M95" s="591">
        <f t="shared" si="48"/>
        <v>0</v>
      </c>
      <c r="N95" s="591">
        <f t="shared" si="48"/>
        <v>0</v>
      </c>
      <c r="O95" s="591">
        <f t="shared" si="48"/>
        <v>0</v>
      </c>
      <c r="P95">
        <v>0</v>
      </c>
      <c r="Q95" s="106"/>
    </row>
    <row r="96" spans="1:17" ht="14">
      <c r="A96" s="106" t="s">
        <v>272</v>
      </c>
      <c r="B96" s="638" t="s">
        <v>832</v>
      </c>
      <c r="C96" s="479">
        <f>IFERROR('Energy balance'!C13*$Q96,0)</f>
        <v>0</v>
      </c>
      <c r="D96" s="479">
        <f>IFERROR('Energy balance'!D13*$Q96,0)</f>
        <v>0</v>
      </c>
      <c r="E96" s="479">
        <f>IFERROR('Energy balance'!E13*$Q96,0)</f>
        <v>0</v>
      </c>
      <c r="F96" s="590">
        <f>(IFERROR(#REF!,0))+(IFERROR(#REF!,0))</f>
        <v>0</v>
      </c>
      <c r="G96" s="591">
        <f t="shared" si="48"/>
        <v>0</v>
      </c>
      <c r="H96" s="591">
        <f t="shared" si="48"/>
        <v>0</v>
      </c>
      <c r="I96" s="591">
        <f t="shared" si="48"/>
        <v>0</v>
      </c>
      <c r="J96" s="591">
        <f t="shared" si="48"/>
        <v>0</v>
      </c>
      <c r="K96" s="591">
        <f t="shared" si="48"/>
        <v>0</v>
      </c>
      <c r="L96" s="591">
        <f t="shared" si="48"/>
        <v>0</v>
      </c>
      <c r="M96" s="591">
        <f t="shared" si="48"/>
        <v>0</v>
      </c>
      <c r="N96" s="591">
        <f t="shared" si="48"/>
        <v>0</v>
      </c>
      <c r="O96" s="591">
        <f t="shared" si="48"/>
        <v>0</v>
      </c>
      <c r="P96">
        <v>0</v>
      </c>
      <c r="Q96" s="106"/>
    </row>
    <row r="97" spans="1:17" ht="14">
      <c r="A97" s="106" t="s">
        <v>272</v>
      </c>
      <c r="B97" s="638" t="s">
        <v>831</v>
      </c>
      <c r="C97" s="479">
        <f>IFERROR('Energy balance'!C14*$Q97,0)</f>
        <v>0</v>
      </c>
      <c r="D97" s="479">
        <f>IFERROR('Energy balance'!D14*$Q97,0)</f>
        <v>0</v>
      </c>
      <c r="E97" s="479">
        <f>IFERROR('Energy balance'!E14*$Q97,0)</f>
        <v>0</v>
      </c>
      <c r="F97" s="590">
        <f>(IFERROR(#REF!,0))+(IFERROR(#REF!,0))</f>
        <v>0</v>
      </c>
      <c r="G97" s="591">
        <f t="shared" si="48"/>
        <v>0</v>
      </c>
      <c r="H97" s="591">
        <f t="shared" si="48"/>
        <v>0</v>
      </c>
      <c r="I97" s="591">
        <f t="shared" si="48"/>
        <v>0</v>
      </c>
      <c r="J97" s="591">
        <f t="shared" si="48"/>
        <v>0</v>
      </c>
      <c r="K97" s="591">
        <f t="shared" si="48"/>
        <v>0</v>
      </c>
      <c r="L97" s="591">
        <f t="shared" si="48"/>
        <v>0</v>
      </c>
      <c r="M97" s="591">
        <f t="shared" si="48"/>
        <v>0</v>
      </c>
      <c r="N97" s="591">
        <f t="shared" si="48"/>
        <v>0</v>
      </c>
      <c r="O97" s="591">
        <f t="shared" si="48"/>
        <v>0</v>
      </c>
      <c r="P97">
        <v>0</v>
      </c>
      <c r="Q97" s="106"/>
    </row>
    <row r="98" spans="1:17" ht="14">
      <c r="A98" s="106" t="s">
        <v>272</v>
      </c>
      <c r="B98" s="638" t="s">
        <v>73</v>
      </c>
      <c r="C98" s="479">
        <f>IFERROR('Energy balance'!C15*$Q98,0)</f>
        <v>0</v>
      </c>
      <c r="D98" s="479">
        <f>IFERROR('Energy balance'!D15*$Q98,0)</f>
        <v>0</v>
      </c>
      <c r="E98" s="479">
        <f>IFERROR('Energy balance'!E15*$Q98,0)</f>
        <v>0</v>
      </c>
      <c r="F98" s="590">
        <f>(IFERROR(#REF!,0))+(IFERROR(#REF!,0))</f>
        <v>0</v>
      </c>
      <c r="G98" s="591">
        <f t="shared" si="48"/>
        <v>251061.69229340029</v>
      </c>
      <c r="H98" s="591">
        <f t="shared" si="48"/>
        <v>256410.56288178259</v>
      </c>
      <c r="I98" s="591">
        <f t="shared" si="48"/>
        <v>261663.65479571724</v>
      </c>
      <c r="J98" s="591">
        <f t="shared" si="48"/>
        <v>242237.16096112086</v>
      </c>
      <c r="K98" s="591">
        <f t="shared" si="48"/>
        <v>259221.29859730302</v>
      </c>
      <c r="L98" s="591">
        <f t="shared" si="48"/>
        <v>260785.06964741892</v>
      </c>
      <c r="M98" s="591">
        <f t="shared" si="48"/>
        <v>255572.49948036595</v>
      </c>
      <c r="N98" s="591">
        <f t="shared" si="48"/>
        <v>245838.07074083414</v>
      </c>
      <c r="O98" s="591">
        <f t="shared" si="48"/>
        <v>239398.79678181748</v>
      </c>
      <c r="P98">
        <v>0.51163821820307964</v>
      </c>
      <c r="Q98" s="106"/>
    </row>
    <row r="99" spans="1:17" ht="14">
      <c r="A99" s="106" t="s">
        <v>272</v>
      </c>
      <c r="B99" s="638" t="s">
        <v>200</v>
      </c>
      <c r="C99" s="479">
        <f>IFERROR('Energy balance'!C16*$Q99,0)</f>
        <v>0</v>
      </c>
      <c r="D99" s="479">
        <f>IFERROR('Energy balance'!D16*$Q99,0)</f>
        <v>0</v>
      </c>
      <c r="E99" s="479">
        <f>IFERROR('Energy balance'!E16*$Q99,0)</f>
        <v>0</v>
      </c>
      <c r="F99" s="590">
        <f>(IFERROR(#REF!,0))+(IFERROR(#REF!,0))</f>
        <v>0</v>
      </c>
      <c r="G99" s="591">
        <f t="shared" si="48"/>
        <v>0</v>
      </c>
      <c r="H99" s="591">
        <f t="shared" si="48"/>
        <v>0</v>
      </c>
      <c r="I99" s="591">
        <f t="shared" si="48"/>
        <v>0</v>
      </c>
      <c r="J99" s="591">
        <f t="shared" si="48"/>
        <v>0</v>
      </c>
      <c r="K99" s="591">
        <f t="shared" si="48"/>
        <v>0</v>
      </c>
      <c r="L99" s="591">
        <f t="shared" si="48"/>
        <v>0</v>
      </c>
      <c r="M99" s="591">
        <f t="shared" si="48"/>
        <v>0</v>
      </c>
      <c r="N99" s="591">
        <f t="shared" si="48"/>
        <v>0</v>
      </c>
      <c r="O99" s="591">
        <f t="shared" si="48"/>
        <v>0</v>
      </c>
      <c r="P99">
        <v>0</v>
      </c>
      <c r="Q99" s="106"/>
    </row>
    <row r="100" spans="1:17" ht="14">
      <c r="A100" s="106" t="s">
        <v>272</v>
      </c>
      <c r="B100" s="639" t="s">
        <v>859</v>
      </c>
      <c r="C100" s="479">
        <f>IFERROR('Energy balance'!C17*$Q100,0)</f>
        <v>0</v>
      </c>
      <c r="D100" s="479">
        <f>IFERROR('Energy balance'!D17*$Q100,0)</f>
        <v>0</v>
      </c>
      <c r="E100" s="479">
        <f>IFERROR('Energy balance'!E17*$Q100,0)</f>
        <v>0</v>
      </c>
      <c r="F100" s="590">
        <f>(IFERROR(#REF!,0))+(IFERROR(#REF!,0))</f>
        <v>0</v>
      </c>
      <c r="G100" s="591">
        <f t="shared" si="48"/>
        <v>0</v>
      </c>
      <c r="H100" s="591">
        <f t="shared" si="48"/>
        <v>0</v>
      </c>
      <c r="I100" s="591">
        <f t="shared" si="48"/>
        <v>0</v>
      </c>
      <c r="J100" s="591">
        <f t="shared" si="48"/>
        <v>0</v>
      </c>
      <c r="K100" s="591">
        <f t="shared" si="48"/>
        <v>0</v>
      </c>
      <c r="L100" s="591">
        <f t="shared" si="48"/>
        <v>0</v>
      </c>
      <c r="M100" s="591">
        <f t="shared" si="48"/>
        <v>0</v>
      </c>
      <c r="N100" s="591">
        <f t="shared" si="48"/>
        <v>0</v>
      </c>
      <c r="O100" s="591">
        <f t="shared" si="48"/>
        <v>0</v>
      </c>
      <c r="P100">
        <v>5.0249711401164597E-3</v>
      </c>
      <c r="Q100" s="106"/>
    </row>
    <row r="101" spans="1:17" ht="14">
      <c r="A101" s="106" t="s">
        <v>272</v>
      </c>
      <c r="B101" s="639" t="s">
        <v>860</v>
      </c>
      <c r="C101" s="479">
        <f>IFERROR('Energy balance'!C18*$Q101,0)</f>
        <v>0</v>
      </c>
      <c r="D101" s="479">
        <f>IFERROR('Energy balance'!D18*$Q101,0)</f>
        <v>0</v>
      </c>
      <c r="E101" s="480">
        <f>IFERROR('Energy balance'!E18*$Q101,0)</f>
        <v>0</v>
      </c>
      <c r="F101" s="480">
        <f>SUM(F91:F93)</f>
        <v>0</v>
      </c>
      <c r="G101" s="591">
        <f t="shared" si="48"/>
        <v>0</v>
      </c>
      <c r="H101" s="591">
        <f t="shared" si="48"/>
        <v>0</v>
      </c>
      <c r="I101" s="591">
        <f t="shared" si="48"/>
        <v>0</v>
      </c>
      <c r="J101" s="591">
        <f t="shared" si="48"/>
        <v>0</v>
      </c>
      <c r="K101" s="591">
        <f t="shared" si="48"/>
        <v>0</v>
      </c>
      <c r="L101" s="591">
        <f t="shared" si="48"/>
        <v>0</v>
      </c>
      <c r="M101" s="591">
        <f t="shared" si="48"/>
        <v>0</v>
      </c>
      <c r="N101" s="591">
        <f t="shared" si="48"/>
        <v>0</v>
      </c>
      <c r="O101" s="591">
        <f t="shared" si="48"/>
        <v>0</v>
      </c>
      <c r="P101">
        <v>0</v>
      </c>
      <c r="Q101" s="106"/>
    </row>
    <row r="102" spans="1:17" ht="14">
      <c r="A102" s="106" t="s">
        <v>272</v>
      </c>
      <c r="B102" s="638" t="s">
        <v>835</v>
      </c>
      <c r="C102" s="479">
        <f>IFERROR('Energy balance'!C19*$Q102,0)</f>
        <v>0</v>
      </c>
      <c r="D102" s="479">
        <f>IFERROR('Energy balance'!D19*$Q102,0)</f>
        <v>0</v>
      </c>
      <c r="E102" s="479">
        <f>IFERROR('Energy balance'!E19*$Q102,0)</f>
        <v>0</v>
      </c>
      <c r="F102" s="479">
        <f>IFERROR('Energy balance'!F19*$Q102,0)</f>
        <v>0</v>
      </c>
      <c r="G102" s="591">
        <f t="shared" si="48"/>
        <v>0</v>
      </c>
      <c r="H102" s="591">
        <f t="shared" si="48"/>
        <v>0</v>
      </c>
      <c r="I102" s="591">
        <f t="shared" si="48"/>
        <v>0</v>
      </c>
      <c r="J102" s="591">
        <f t="shared" si="48"/>
        <v>0</v>
      </c>
      <c r="K102" s="591">
        <f t="shared" si="48"/>
        <v>0</v>
      </c>
      <c r="L102" s="591">
        <f t="shared" si="48"/>
        <v>0</v>
      </c>
      <c r="M102" s="591">
        <f t="shared" si="48"/>
        <v>0</v>
      </c>
      <c r="N102" s="591">
        <f t="shared" si="48"/>
        <v>0</v>
      </c>
      <c r="O102" s="591">
        <f t="shared" si="48"/>
        <v>0</v>
      </c>
      <c r="P102">
        <v>0</v>
      </c>
      <c r="Q102" s="106"/>
    </row>
    <row r="103" spans="1:17" ht="14">
      <c r="A103" s="106" t="s">
        <v>272</v>
      </c>
      <c r="B103" s="584" t="s">
        <v>908</v>
      </c>
      <c r="C103" s="481">
        <f>IFERROR('Energy balance'!C20*$Q103,0)</f>
        <v>0</v>
      </c>
      <c r="D103" s="479">
        <f>IFERROR('Energy balance'!D20*$Q103,0)</f>
        <v>0</v>
      </c>
      <c r="E103" s="479">
        <f>IFERROR('Energy balance'!E20*$Q103,0)</f>
        <v>0</v>
      </c>
      <c r="F103" s="479">
        <f>IFERROR('Energy balance'!F20*$Q103,0)</f>
        <v>0</v>
      </c>
      <c r="G103" s="591">
        <f t="shared" si="48"/>
        <v>0</v>
      </c>
      <c r="H103" s="591">
        <f t="shared" si="48"/>
        <v>0</v>
      </c>
      <c r="I103" s="591">
        <f t="shared" si="48"/>
        <v>0</v>
      </c>
      <c r="J103" s="591">
        <f t="shared" si="48"/>
        <v>0</v>
      </c>
      <c r="K103" s="591">
        <f t="shared" si="48"/>
        <v>0</v>
      </c>
      <c r="L103" s="591">
        <f t="shared" si="48"/>
        <v>0</v>
      </c>
      <c r="M103" s="591">
        <f t="shared" si="48"/>
        <v>0</v>
      </c>
      <c r="N103" s="591">
        <f t="shared" si="48"/>
        <v>0</v>
      </c>
      <c r="O103" s="591">
        <f t="shared" si="48"/>
        <v>0</v>
      </c>
      <c r="Q103" s="361"/>
    </row>
    <row r="104" spans="1:17" ht="14">
      <c r="A104" s="106" t="s">
        <v>272</v>
      </c>
      <c r="B104" s="584" t="s">
        <v>939</v>
      </c>
      <c r="C104" s="479">
        <f>IFERROR('Energy balance'!C21*$Q104,0)</f>
        <v>0</v>
      </c>
      <c r="D104" s="479">
        <f>IFERROR('Energy balance'!D21*$Q104,0)</f>
        <v>0</v>
      </c>
      <c r="E104" s="480">
        <f>IFERROR('Energy balance'!E21*$Q104,0)</f>
        <v>0</v>
      </c>
      <c r="F104" s="480">
        <f>IFERROR('Energy balance'!F21*$Q104,0)</f>
        <v>0</v>
      </c>
      <c r="G104" s="591">
        <f t="shared" si="48"/>
        <v>0</v>
      </c>
      <c r="H104" s="591">
        <f t="shared" si="48"/>
        <v>0</v>
      </c>
      <c r="I104" s="591">
        <f t="shared" si="48"/>
        <v>0</v>
      </c>
      <c r="J104" s="591">
        <f t="shared" si="48"/>
        <v>0</v>
      </c>
      <c r="K104" s="591">
        <f t="shared" si="48"/>
        <v>0</v>
      </c>
      <c r="L104" s="591">
        <f t="shared" si="48"/>
        <v>0</v>
      </c>
      <c r="M104" s="591">
        <f t="shared" si="48"/>
        <v>0</v>
      </c>
      <c r="N104" s="591">
        <f t="shared" si="48"/>
        <v>0</v>
      </c>
      <c r="O104" s="591">
        <f t="shared" si="48"/>
        <v>0</v>
      </c>
      <c r="Q104" s="106"/>
    </row>
    <row r="105" spans="1:17" ht="14.5" thickBot="1">
      <c r="A105" s="106" t="s">
        <v>272</v>
      </c>
      <c r="B105" s="326"/>
      <c r="C105" s="482">
        <f>IFERROR('Energy balance'!C22*$Q105,0)</f>
        <v>0</v>
      </c>
      <c r="D105" s="482">
        <f>IFERROR('Energy balance'!D22*$Q105,0)</f>
        <v>0</v>
      </c>
      <c r="E105" s="482">
        <f>IFERROR('Energy balance'!E22*$Q105,0)</f>
        <v>0</v>
      </c>
      <c r="F105" s="482">
        <f>IFERROR('Energy balance'!F22*$Q105,0)</f>
        <v>0</v>
      </c>
      <c r="G105" s="482">
        <f>IFERROR('Energy balance'!G22*$Q105,0)</f>
        <v>0</v>
      </c>
      <c r="H105" s="482">
        <f>IFERROR('Energy balance'!H22*$Q105,0)</f>
        <v>0</v>
      </c>
      <c r="I105" s="482">
        <f>IFERROR('Energy balance'!I22*$Q105,0)</f>
        <v>0</v>
      </c>
      <c r="J105" s="482">
        <f>IFERROR('Energy balance'!J22*$Q105,0)</f>
        <v>0</v>
      </c>
      <c r="K105" s="482">
        <f>IFERROR('Energy balance'!K22*$Q105,0)</f>
        <v>0</v>
      </c>
      <c r="L105" s="482">
        <f>IFERROR('Energy balance'!L22*$Q105,0)</f>
        <v>0</v>
      </c>
      <c r="M105" s="482">
        <f>IFERROR('Energy balance'!M22*$Q105,0)</f>
        <v>0</v>
      </c>
      <c r="N105" s="482">
        <f>IFERROR('Energy balance'!N22*$Q105,0)</f>
        <v>0</v>
      </c>
      <c r="O105" s="482">
        <f>IFERROR('Energy balance'!O22*$Q105,0)</f>
        <v>0</v>
      </c>
      <c r="Q105" s="106"/>
    </row>
    <row r="106" spans="1:17" ht="14">
      <c r="A106" s="106" t="s">
        <v>272</v>
      </c>
      <c r="B106" s="363" t="s">
        <v>92</v>
      </c>
      <c r="C106" s="364">
        <f>SUM(C88:C105)</f>
        <v>0</v>
      </c>
      <c r="D106" s="364">
        <f t="shared" ref="D106" si="49">SUM(D88:D105)</f>
        <v>0</v>
      </c>
      <c r="E106" s="364">
        <f t="shared" ref="E106" si="50">SUM(E88:E105)</f>
        <v>0</v>
      </c>
      <c r="F106" s="364">
        <f t="shared" ref="F106" si="51">SUM(F88:F105)</f>
        <v>0</v>
      </c>
      <c r="G106" s="364">
        <f t="shared" ref="G106:O106" si="52">SUM(G88:G105)</f>
        <v>251061.69229340029</v>
      </c>
      <c r="H106" s="364">
        <f t="shared" si="52"/>
        <v>256410.56288178259</v>
      </c>
      <c r="I106" s="364">
        <f t="shared" si="52"/>
        <v>261663.65479571724</v>
      </c>
      <c r="J106" s="364">
        <f t="shared" si="52"/>
        <v>242237.16096112086</v>
      </c>
      <c r="K106" s="364">
        <f t="shared" si="52"/>
        <v>259221.29859730302</v>
      </c>
      <c r="L106" s="364">
        <f t="shared" si="52"/>
        <v>260785.06964741892</v>
      </c>
      <c r="M106" s="364">
        <f t="shared" si="52"/>
        <v>255572.49948036595</v>
      </c>
      <c r="N106" s="364">
        <f t="shared" si="52"/>
        <v>245838.07074083414</v>
      </c>
      <c r="O106" s="364">
        <f>SUM(O88:O105)</f>
        <v>239398.79678181748</v>
      </c>
    </row>
    <row r="108" spans="1:17" ht="16" thickBot="1">
      <c r="B108" s="357" t="s">
        <v>275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273</v>
      </c>
      <c r="B110" s="584" t="s">
        <v>839</v>
      </c>
      <c r="C110" s="478">
        <f>IFERROR('Energy balance'!C5*#REF!,0)</f>
        <v>0</v>
      </c>
      <c r="D110" s="478">
        <f>IFERROR('Energy balance'!D5*#REF!,0)</f>
        <v>0</v>
      </c>
      <c r="E110" s="478">
        <f>IFERROR('Energy balance'!E5*#REF!,0)</f>
        <v>0</v>
      </c>
      <c r="F110" s="478">
        <f>IFERROR(#REF!,0)</f>
        <v>0</v>
      </c>
      <c r="G110" s="478">
        <f>G135*$P110</f>
        <v>0</v>
      </c>
      <c r="H110" s="478">
        <f t="shared" ref="H110:O110" si="53">H135*$P110</f>
        <v>0</v>
      </c>
      <c r="I110" s="478">
        <f t="shared" si="53"/>
        <v>0</v>
      </c>
      <c r="J110" s="478">
        <f t="shared" si="53"/>
        <v>0</v>
      </c>
      <c r="K110" s="478">
        <f t="shared" si="53"/>
        <v>0</v>
      </c>
      <c r="L110" s="478">
        <f t="shared" si="53"/>
        <v>0</v>
      </c>
      <c r="M110" s="478">
        <f t="shared" si="53"/>
        <v>0</v>
      </c>
      <c r="N110" s="478">
        <f t="shared" si="53"/>
        <v>0</v>
      </c>
      <c r="O110" s="478">
        <f t="shared" si="53"/>
        <v>0</v>
      </c>
      <c r="P110">
        <v>0</v>
      </c>
      <c r="Q110" s="106"/>
    </row>
    <row r="111" spans="1:17" ht="14">
      <c r="A111" s="106" t="s">
        <v>273</v>
      </c>
      <c r="B111" s="638" t="s">
        <v>74</v>
      </c>
      <c r="C111" s="479">
        <f>IFERROR('Energy balance'!C6*#REF!,0)</f>
        <v>0</v>
      </c>
      <c r="D111" s="479">
        <f>IFERROR('Energy balance'!D6*#REF!,0)</f>
        <v>0</v>
      </c>
      <c r="E111" s="479">
        <f>IFERROR('Energy balance'!E6*#REF!,0)</f>
        <v>0</v>
      </c>
      <c r="F111" s="478">
        <f>IFERROR(#REF!,0)</f>
        <v>0</v>
      </c>
      <c r="G111" s="478">
        <f t="shared" ref="G111:O126" si="54">G136*$P111</f>
        <v>0</v>
      </c>
      <c r="H111" s="478">
        <f t="shared" si="54"/>
        <v>0</v>
      </c>
      <c r="I111" s="478">
        <f t="shared" si="54"/>
        <v>0</v>
      </c>
      <c r="J111" s="478">
        <f t="shared" si="54"/>
        <v>0</v>
      </c>
      <c r="K111" s="478">
        <f t="shared" si="54"/>
        <v>0</v>
      </c>
      <c r="L111" s="478">
        <f t="shared" si="54"/>
        <v>0</v>
      </c>
      <c r="M111" s="478">
        <f t="shared" si="54"/>
        <v>0</v>
      </c>
      <c r="N111" s="478">
        <f t="shared" si="54"/>
        <v>0</v>
      </c>
      <c r="O111" s="478">
        <f t="shared" si="54"/>
        <v>0</v>
      </c>
      <c r="P111">
        <v>0</v>
      </c>
      <c r="Q111" s="106"/>
    </row>
    <row r="112" spans="1:17" ht="14">
      <c r="A112" s="106" t="s">
        <v>273</v>
      </c>
      <c r="B112" s="638" t="s">
        <v>838</v>
      </c>
      <c r="C112" s="479">
        <f>IFERROR('Energy balance'!C7*#REF!,0)</f>
        <v>0</v>
      </c>
      <c r="D112" s="479">
        <f>IFERROR('Energy balance'!D7*#REF!,0)</f>
        <v>0</v>
      </c>
      <c r="E112" s="479">
        <f>IFERROR('Energy balance'!E7*#REF!,0)</f>
        <v>0</v>
      </c>
      <c r="F112" s="478">
        <f>IFERROR(#REF!,0)</f>
        <v>0</v>
      </c>
      <c r="G112" s="478">
        <f t="shared" si="54"/>
        <v>0</v>
      </c>
      <c r="H112" s="478">
        <f t="shared" si="54"/>
        <v>0</v>
      </c>
      <c r="I112" s="478">
        <f t="shared" si="54"/>
        <v>0</v>
      </c>
      <c r="J112" s="478">
        <f t="shared" si="54"/>
        <v>0</v>
      </c>
      <c r="K112" s="478">
        <f t="shared" si="54"/>
        <v>0</v>
      </c>
      <c r="L112" s="478">
        <f t="shared" si="54"/>
        <v>0</v>
      </c>
      <c r="M112" s="478">
        <f t="shared" si="54"/>
        <v>0</v>
      </c>
      <c r="N112" s="478">
        <f t="shared" si="54"/>
        <v>0</v>
      </c>
      <c r="O112" s="478">
        <f t="shared" si="54"/>
        <v>0</v>
      </c>
      <c r="P112">
        <v>0</v>
      </c>
      <c r="Q112" s="106"/>
    </row>
    <row r="113" spans="1:17" ht="14">
      <c r="A113" s="106" t="s">
        <v>273</v>
      </c>
      <c r="B113" s="638" t="s">
        <v>837</v>
      </c>
      <c r="C113" s="480">
        <f>IFERROR('Energy balance'!C8*#REF!,0)</f>
        <v>0</v>
      </c>
      <c r="D113" s="480">
        <f>IFERROR('Energy balance'!D8*#REF!,0)</f>
        <v>0</v>
      </c>
      <c r="E113" s="480">
        <f>IFERROR('Energy balance'!E8*#REF!,0)</f>
        <v>0</v>
      </c>
      <c r="F113" s="478">
        <f>IFERROR(#REF!,0)</f>
        <v>0</v>
      </c>
      <c r="G113" s="478">
        <f t="shared" si="54"/>
        <v>0</v>
      </c>
      <c r="H113" s="478">
        <f t="shared" si="54"/>
        <v>0</v>
      </c>
      <c r="I113" s="478">
        <f t="shared" si="54"/>
        <v>0</v>
      </c>
      <c r="J113" s="478">
        <f t="shared" si="54"/>
        <v>0</v>
      </c>
      <c r="K113" s="478">
        <f t="shared" si="54"/>
        <v>0</v>
      </c>
      <c r="L113" s="478">
        <f t="shared" si="54"/>
        <v>0</v>
      </c>
      <c r="M113" s="478">
        <f t="shared" si="54"/>
        <v>0</v>
      </c>
      <c r="N113" s="478">
        <f t="shared" si="54"/>
        <v>0</v>
      </c>
      <c r="O113" s="478">
        <f t="shared" si="54"/>
        <v>0</v>
      </c>
      <c r="P113">
        <v>0</v>
      </c>
      <c r="Q113" s="106"/>
    </row>
    <row r="114" spans="1:17" ht="14">
      <c r="A114" s="106" t="s">
        <v>273</v>
      </c>
      <c r="B114" s="638" t="s">
        <v>193</v>
      </c>
      <c r="C114" s="480">
        <f>IFERROR('Energy balance'!C9*#REF!,0)</f>
        <v>0</v>
      </c>
      <c r="D114" s="480">
        <f>IFERROR('Energy balance'!D9*#REF!,0)</f>
        <v>0</v>
      </c>
      <c r="E114" s="480">
        <f>IFERROR('Energy balance'!E9*#REF!,0)</f>
        <v>0</v>
      </c>
      <c r="F114" s="478">
        <f>IFERROR(#REF!,0)</f>
        <v>0</v>
      </c>
      <c r="G114" s="478">
        <f t="shared" si="54"/>
        <v>0</v>
      </c>
      <c r="H114" s="478">
        <f t="shared" si="54"/>
        <v>0</v>
      </c>
      <c r="I114" s="478">
        <f t="shared" si="54"/>
        <v>0</v>
      </c>
      <c r="J114" s="478">
        <f t="shared" si="54"/>
        <v>0</v>
      </c>
      <c r="K114" s="478">
        <f t="shared" si="54"/>
        <v>0</v>
      </c>
      <c r="L114" s="478">
        <f t="shared" si="54"/>
        <v>0</v>
      </c>
      <c r="M114" s="478">
        <f t="shared" si="54"/>
        <v>0</v>
      </c>
      <c r="N114" s="478">
        <f t="shared" si="54"/>
        <v>0</v>
      </c>
      <c r="O114" s="478">
        <f t="shared" si="54"/>
        <v>0</v>
      </c>
      <c r="P114">
        <v>0</v>
      </c>
      <c r="Q114" s="106"/>
    </row>
    <row r="115" spans="1:17" ht="14">
      <c r="A115" s="106" t="s">
        <v>273</v>
      </c>
      <c r="B115" s="638" t="s">
        <v>836</v>
      </c>
      <c r="C115" s="480">
        <f>IFERROR('Energy balance'!C10*#REF!,0)</f>
        <v>0</v>
      </c>
      <c r="D115" s="480">
        <f>IFERROR('Energy balance'!D10*#REF!,0)</f>
        <v>0</v>
      </c>
      <c r="E115" s="480">
        <f>IFERROR('Energy balance'!E10*#REF!,0)</f>
        <v>0</v>
      </c>
      <c r="F115" s="478">
        <f>IFERROR(#REF!,0)</f>
        <v>0</v>
      </c>
      <c r="G115" s="478">
        <f t="shared" si="54"/>
        <v>0</v>
      </c>
      <c r="H115" s="478">
        <f t="shared" si="54"/>
        <v>0</v>
      </c>
      <c r="I115" s="478">
        <f t="shared" si="54"/>
        <v>0</v>
      </c>
      <c r="J115" s="478">
        <f t="shared" si="54"/>
        <v>0</v>
      </c>
      <c r="K115" s="478">
        <f t="shared" si="54"/>
        <v>0</v>
      </c>
      <c r="L115" s="478">
        <f t="shared" si="54"/>
        <v>0</v>
      </c>
      <c r="M115" s="478">
        <f t="shared" si="54"/>
        <v>0</v>
      </c>
      <c r="N115" s="478">
        <f t="shared" si="54"/>
        <v>0</v>
      </c>
      <c r="O115" s="478">
        <f t="shared" si="54"/>
        <v>0</v>
      </c>
      <c r="P115">
        <v>0</v>
      </c>
      <c r="Q115" s="106"/>
    </row>
    <row r="116" spans="1:17" ht="14">
      <c r="A116" s="106" t="s">
        <v>273</v>
      </c>
      <c r="B116" s="638" t="s">
        <v>834</v>
      </c>
      <c r="C116" s="480">
        <f>IFERROR('Energy balance'!C11*#REF!,0)</f>
        <v>0</v>
      </c>
      <c r="D116" s="480">
        <f>IFERROR('Energy balance'!D11*#REF!,0)</f>
        <v>0</v>
      </c>
      <c r="E116" s="480">
        <f>IFERROR('Energy balance'!E11*#REF!,0)</f>
        <v>0</v>
      </c>
      <c r="F116" s="478">
        <f>IFERROR(#REF!,0)</f>
        <v>0</v>
      </c>
      <c r="G116" s="478">
        <f t="shared" si="54"/>
        <v>0</v>
      </c>
      <c r="H116" s="478">
        <f t="shared" si="54"/>
        <v>0</v>
      </c>
      <c r="I116" s="478">
        <f t="shared" si="54"/>
        <v>0</v>
      </c>
      <c r="J116" s="478">
        <f t="shared" si="54"/>
        <v>0</v>
      </c>
      <c r="K116" s="478">
        <f t="shared" si="54"/>
        <v>0</v>
      </c>
      <c r="L116" s="478">
        <f t="shared" si="54"/>
        <v>0</v>
      </c>
      <c r="M116" s="478">
        <f t="shared" si="54"/>
        <v>0</v>
      </c>
      <c r="N116" s="478">
        <f t="shared" si="54"/>
        <v>0</v>
      </c>
      <c r="O116" s="478">
        <f t="shared" si="54"/>
        <v>0</v>
      </c>
      <c r="P116">
        <v>0</v>
      </c>
      <c r="Q116" s="106"/>
    </row>
    <row r="117" spans="1:17" ht="14">
      <c r="A117" s="106" t="s">
        <v>273</v>
      </c>
      <c r="B117" s="638" t="s">
        <v>833</v>
      </c>
      <c r="C117" s="480">
        <f>IFERROR('Energy balance'!C12*#REF!,0)</f>
        <v>0</v>
      </c>
      <c r="D117" s="480">
        <f>IFERROR('Energy balance'!D12*#REF!,0)</f>
        <v>0</v>
      </c>
      <c r="E117" s="480">
        <f>IFERROR('Energy balance'!E12*#REF!,0)</f>
        <v>0</v>
      </c>
      <c r="F117" s="478">
        <f>IFERROR(#REF!,0)</f>
        <v>0</v>
      </c>
      <c r="G117" s="478">
        <f t="shared" si="54"/>
        <v>0</v>
      </c>
      <c r="H117" s="478">
        <f t="shared" si="54"/>
        <v>0</v>
      </c>
      <c r="I117" s="478">
        <f t="shared" si="54"/>
        <v>0</v>
      </c>
      <c r="J117" s="478">
        <f t="shared" si="54"/>
        <v>0</v>
      </c>
      <c r="K117" s="478">
        <f t="shared" si="54"/>
        <v>0</v>
      </c>
      <c r="L117" s="478">
        <f t="shared" si="54"/>
        <v>0</v>
      </c>
      <c r="M117" s="478">
        <f t="shared" si="54"/>
        <v>0</v>
      </c>
      <c r="N117" s="478">
        <f t="shared" si="54"/>
        <v>0</v>
      </c>
      <c r="O117" s="478">
        <f t="shared" si="54"/>
        <v>0</v>
      </c>
      <c r="P117">
        <v>0</v>
      </c>
      <c r="Q117" s="106"/>
    </row>
    <row r="118" spans="1:17" ht="14">
      <c r="A118" s="106" t="s">
        <v>273</v>
      </c>
      <c r="B118" s="638" t="s">
        <v>832</v>
      </c>
      <c r="C118" s="479">
        <f>IFERROR('Energy balance'!C13*#REF!,0)</f>
        <v>0</v>
      </c>
      <c r="D118" s="479">
        <f>IFERROR('Energy balance'!D13*#REF!,0)</f>
        <v>0</v>
      </c>
      <c r="E118" s="479">
        <f>IFERROR('Energy balance'!E13*#REF!,0)</f>
        <v>0</v>
      </c>
      <c r="F118" s="478">
        <f>IFERROR(#REF!,0)</f>
        <v>0</v>
      </c>
      <c r="G118" s="478">
        <f t="shared" si="54"/>
        <v>0</v>
      </c>
      <c r="H118" s="478">
        <f t="shared" si="54"/>
        <v>0</v>
      </c>
      <c r="I118" s="478">
        <f t="shared" si="54"/>
        <v>0</v>
      </c>
      <c r="J118" s="478">
        <f t="shared" si="54"/>
        <v>0</v>
      </c>
      <c r="K118" s="478">
        <f t="shared" si="54"/>
        <v>0</v>
      </c>
      <c r="L118" s="478">
        <f t="shared" si="54"/>
        <v>0</v>
      </c>
      <c r="M118" s="478">
        <f t="shared" si="54"/>
        <v>0</v>
      </c>
      <c r="N118" s="478">
        <f t="shared" si="54"/>
        <v>0</v>
      </c>
      <c r="O118" s="478">
        <f t="shared" si="54"/>
        <v>0</v>
      </c>
      <c r="P118">
        <v>0</v>
      </c>
      <c r="Q118" s="106"/>
    </row>
    <row r="119" spans="1:17" ht="14">
      <c r="A119" s="106" t="s">
        <v>273</v>
      </c>
      <c r="B119" s="638" t="s">
        <v>831</v>
      </c>
      <c r="C119" s="479">
        <f>IFERROR('Energy balance'!C14*#REF!,0)</f>
        <v>0</v>
      </c>
      <c r="D119" s="479">
        <f>IFERROR('Energy balance'!D14*#REF!,0)</f>
        <v>0</v>
      </c>
      <c r="E119" s="479">
        <f>IFERROR('Energy balance'!E14*#REF!,0)</f>
        <v>0</v>
      </c>
      <c r="F119" s="478">
        <f>IFERROR(#REF!,0)</f>
        <v>0</v>
      </c>
      <c r="G119" s="478">
        <f t="shared" si="54"/>
        <v>0</v>
      </c>
      <c r="H119" s="478">
        <f t="shared" si="54"/>
        <v>0</v>
      </c>
      <c r="I119" s="478">
        <f t="shared" si="54"/>
        <v>0</v>
      </c>
      <c r="J119" s="478">
        <f t="shared" si="54"/>
        <v>0</v>
      </c>
      <c r="K119" s="478">
        <f t="shared" si="54"/>
        <v>0</v>
      </c>
      <c r="L119" s="478">
        <f t="shared" si="54"/>
        <v>0</v>
      </c>
      <c r="M119" s="478">
        <f t="shared" si="54"/>
        <v>0</v>
      </c>
      <c r="N119" s="478">
        <f t="shared" si="54"/>
        <v>0</v>
      </c>
      <c r="O119" s="478">
        <f t="shared" si="54"/>
        <v>0</v>
      </c>
      <c r="P119">
        <v>0</v>
      </c>
      <c r="Q119" s="106"/>
    </row>
    <row r="120" spans="1:17" ht="14">
      <c r="A120" s="106" t="s">
        <v>273</v>
      </c>
      <c r="B120" s="638" t="s">
        <v>73</v>
      </c>
      <c r="C120" s="479">
        <f>IFERROR('Energy balance'!C15*#REF!,0)</f>
        <v>0</v>
      </c>
      <c r="D120" s="479">
        <f>IFERROR('Energy balance'!D15*#REF!,0)</f>
        <v>0</v>
      </c>
      <c r="E120" s="479">
        <f>IFERROR('Energy balance'!E15*#REF!,0)</f>
        <v>0</v>
      </c>
      <c r="F120" s="478">
        <f>IFERROR(#REF!,0)</f>
        <v>0</v>
      </c>
      <c r="G120" s="478">
        <f t="shared" si="54"/>
        <v>4895.0503853103846</v>
      </c>
      <c r="H120" s="478">
        <f t="shared" si="54"/>
        <v>4999.3394578306061</v>
      </c>
      <c r="I120" s="478">
        <f t="shared" si="54"/>
        <v>5101.761095167959</v>
      </c>
      <c r="J120" s="478">
        <f t="shared" si="54"/>
        <v>4722.9949629810517</v>
      </c>
      <c r="K120" s="478">
        <f t="shared" si="54"/>
        <v>5054.1414980047994</v>
      </c>
      <c r="L120" s="478">
        <f t="shared" si="54"/>
        <v>5084.6309685866418</v>
      </c>
      <c r="M120" s="478">
        <f t="shared" si="54"/>
        <v>4982.9993999805029</v>
      </c>
      <c r="N120" s="478">
        <f t="shared" si="54"/>
        <v>4793.2033434139148</v>
      </c>
      <c r="O120" s="478">
        <f t="shared" si="54"/>
        <v>4667.6542395810302</v>
      </c>
      <c r="P120">
        <v>9.9756152931035572E-3</v>
      </c>
      <c r="Q120" s="106"/>
    </row>
    <row r="121" spans="1:17" ht="14">
      <c r="A121" s="106" t="s">
        <v>273</v>
      </c>
      <c r="B121" s="638" t="s">
        <v>200</v>
      </c>
      <c r="C121" s="479">
        <f>IFERROR('Energy balance'!C16*#REF!,0)</f>
        <v>0</v>
      </c>
      <c r="D121" s="479">
        <f>IFERROR('Energy balance'!D16*#REF!,0)</f>
        <v>0</v>
      </c>
      <c r="E121" s="479">
        <f>IFERROR('Energy balance'!E16*#REF!,0)</f>
        <v>0</v>
      </c>
      <c r="F121" s="478">
        <f>IFERROR(#REF!,0)</f>
        <v>0</v>
      </c>
      <c r="G121" s="478">
        <f t="shared" si="54"/>
        <v>0</v>
      </c>
      <c r="H121" s="478">
        <f t="shared" si="54"/>
        <v>0</v>
      </c>
      <c r="I121" s="478">
        <f t="shared" si="54"/>
        <v>0</v>
      </c>
      <c r="J121" s="478">
        <f t="shared" si="54"/>
        <v>0</v>
      </c>
      <c r="K121" s="478">
        <f t="shared" si="54"/>
        <v>0</v>
      </c>
      <c r="L121" s="478">
        <f t="shared" si="54"/>
        <v>0</v>
      </c>
      <c r="M121" s="478">
        <f t="shared" si="54"/>
        <v>0</v>
      </c>
      <c r="N121" s="478">
        <f t="shared" si="54"/>
        <v>0</v>
      </c>
      <c r="O121" s="478">
        <f t="shared" si="54"/>
        <v>0</v>
      </c>
      <c r="P121">
        <v>0</v>
      </c>
      <c r="Q121" s="361"/>
    </row>
    <row r="122" spans="1:17" ht="14">
      <c r="A122" s="106" t="s">
        <v>273</v>
      </c>
      <c r="B122" s="639" t="s">
        <v>859</v>
      </c>
      <c r="C122" s="479">
        <f>IFERROR('Energy balance'!C17*#REF!,0)</f>
        <v>0</v>
      </c>
      <c r="D122" s="479">
        <f>IFERROR('Energy balance'!D17*#REF!,0)</f>
        <v>0</v>
      </c>
      <c r="E122" s="479">
        <f>IFERROR('Energy balance'!E17*#REF!,0)</f>
        <v>0</v>
      </c>
      <c r="F122" s="478">
        <f>IFERROR(#REF!,0)</f>
        <v>0</v>
      </c>
      <c r="G122" s="478">
        <f t="shared" si="54"/>
        <v>0</v>
      </c>
      <c r="H122" s="478">
        <f t="shared" si="54"/>
        <v>0</v>
      </c>
      <c r="I122" s="478">
        <f t="shared" si="54"/>
        <v>0</v>
      </c>
      <c r="J122" s="478">
        <f t="shared" si="54"/>
        <v>0</v>
      </c>
      <c r="K122" s="478">
        <f t="shared" si="54"/>
        <v>0</v>
      </c>
      <c r="L122" s="478">
        <f t="shared" si="54"/>
        <v>0</v>
      </c>
      <c r="M122" s="478">
        <f t="shared" si="54"/>
        <v>0</v>
      </c>
      <c r="N122" s="478">
        <f t="shared" si="54"/>
        <v>0</v>
      </c>
      <c r="O122" s="478">
        <f t="shared" si="54"/>
        <v>0</v>
      </c>
      <c r="P122">
        <v>0</v>
      </c>
      <c r="Q122" s="106"/>
    </row>
    <row r="123" spans="1:17" ht="14">
      <c r="A123" s="106" t="s">
        <v>273</v>
      </c>
      <c r="B123" s="639" t="s">
        <v>860</v>
      </c>
      <c r="C123" s="479">
        <f>IFERROR('Energy balance'!C18*#REF!,0)</f>
        <v>0</v>
      </c>
      <c r="D123" s="479">
        <f>IFERROR('Energy balance'!D18*#REF!,0)</f>
        <v>0</v>
      </c>
      <c r="E123" s="480">
        <f>IFERROR('Energy balance'!E18*#REF!,0)</f>
        <v>0</v>
      </c>
      <c r="F123" s="480">
        <f>IFERROR('Energy balance'!F18*#REF!,0)</f>
        <v>0</v>
      </c>
      <c r="G123" s="478">
        <f t="shared" si="54"/>
        <v>0</v>
      </c>
      <c r="H123" s="478">
        <f t="shared" si="54"/>
        <v>0</v>
      </c>
      <c r="I123" s="478">
        <f t="shared" si="54"/>
        <v>0</v>
      </c>
      <c r="J123" s="478">
        <f t="shared" si="54"/>
        <v>0</v>
      </c>
      <c r="K123" s="478">
        <f t="shared" si="54"/>
        <v>0</v>
      </c>
      <c r="L123" s="478">
        <f t="shared" si="54"/>
        <v>0</v>
      </c>
      <c r="M123" s="478">
        <f t="shared" si="54"/>
        <v>0</v>
      </c>
      <c r="N123" s="478">
        <f t="shared" si="54"/>
        <v>0</v>
      </c>
      <c r="O123" s="478">
        <f t="shared" si="54"/>
        <v>0</v>
      </c>
      <c r="P123">
        <v>0</v>
      </c>
      <c r="Q123" s="106"/>
    </row>
    <row r="124" spans="1:17" ht="14">
      <c r="A124" s="106" t="s">
        <v>273</v>
      </c>
      <c r="B124" s="638" t="s">
        <v>835</v>
      </c>
      <c r="C124" s="479">
        <f>IFERROR('Energy balance'!C19*#REF!,0)</f>
        <v>0</v>
      </c>
      <c r="D124" s="479">
        <f>IFERROR('Energy balance'!D19*#REF!,0)</f>
        <v>0</v>
      </c>
      <c r="E124" s="479">
        <f>IFERROR('Energy balance'!E19*#REF!,0)</f>
        <v>0</v>
      </c>
      <c r="F124" s="479">
        <f>IFERROR('Energy balance'!F19*#REF!,0)</f>
        <v>0</v>
      </c>
      <c r="G124" s="478">
        <f t="shared" si="54"/>
        <v>0</v>
      </c>
      <c r="H124" s="478">
        <f t="shared" si="54"/>
        <v>0</v>
      </c>
      <c r="I124" s="478">
        <f t="shared" si="54"/>
        <v>0</v>
      </c>
      <c r="J124" s="478">
        <f t="shared" si="54"/>
        <v>0</v>
      </c>
      <c r="K124" s="478">
        <f t="shared" si="54"/>
        <v>0</v>
      </c>
      <c r="L124" s="478">
        <f t="shared" si="54"/>
        <v>0</v>
      </c>
      <c r="M124" s="478">
        <f t="shared" si="54"/>
        <v>0</v>
      </c>
      <c r="N124" s="478">
        <f t="shared" si="54"/>
        <v>0</v>
      </c>
      <c r="O124" s="478">
        <f t="shared" si="54"/>
        <v>0</v>
      </c>
      <c r="P124">
        <v>0</v>
      </c>
      <c r="Q124" s="106"/>
    </row>
    <row r="125" spans="1:17" ht="14">
      <c r="A125" s="106" t="s">
        <v>273</v>
      </c>
      <c r="B125" s="584" t="s">
        <v>908</v>
      </c>
      <c r="C125" s="481">
        <f>IFERROR('Energy balance'!C20*#REF!,0)</f>
        <v>0</v>
      </c>
      <c r="D125" s="479">
        <f>IFERROR('Energy balance'!D20*#REF!,0)</f>
        <v>0</v>
      </c>
      <c r="E125" s="479">
        <f>IFERROR('Energy balance'!E20*#REF!,0)</f>
        <v>0</v>
      </c>
      <c r="F125" s="479">
        <f>IFERROR('Energy balance'!F20*#REF!,0)</f>
        <v>0</v>
      </c>
      <c r="G125" s="478">
        <f t="shared" si="54"/>
        <v>0</v>
      </c>
      <c r="H125" s="478">
        <f t="shared" si="54"/>
        <v>0</v>
      </c>
      <c r="I125" s="478">
        <f t="shared" si="54"/>
        <v>0</v>
      </c>
      <c r="J125" s="478">
        <f t="shared" si="54"/>
        <v>0</v>
      </c>
      <c r="K125" s="478">
        <f t="shared" si="54"/>
        <v>0</v>
      </c>
      <c r="L125" s="478">
        <f t="shared" si="54"/>
        <v>0</v>
      </c>
      <c r="M125" s="478">
        <f t="shared" si="54"/>
        <v>0</v>
      </c>
      <c r="N125" s="478">
        <f t="shared" si="54"/>
        <v>0</v>
      </c>
      <c r="O125" s="478">
        <f t="shared" si="54"/>
        <v>0</v>
      </c>
      <c r="Q125" s="106"/>
    </row>
    <row r="126" spans="1:17" ht="14">
      <c r="A126" s="106" t="s">
        <v>273</v>
      </c>
      <c r="B126" s="584" t="s">
        <v>939</v>
      </c>
      <c r="C126" s="479">
        <f>IFERROR('Energy balance'!C21*#REF!,0)</f>
        <v>0</v>
      </c>
      <c r="D126" s="479">
        <f>IFERROR('Energy balance'!D21*#REF!,0)</f>
        <v>0</v>
      </c>
      <c r="E126" s="480">
        <f>IFERROR('Energy balance'!E21*#REF!,0)</f>
        <v>0</v>
      </c>
      <c r="F126" s="480">
        <f>IFERROR('Energy balance'!F21*#REF!,0)</f>
        <v>0</v>
      </c>
      <c r="G126" s="478">
        <f t="shared" si="54"/>
        <v>0</v>
      </c>
      <c r="H126" s="478">
        <f t="shared" si="54"/>
        <v>0</v>
      </c>
      <c r="I126" s="478">
        <f t="shared" si="54"/>
        <v>0</v>
      </c>
      <c r="J126" s="478">
        <f t="shared" si="54"/>
        <v>0</v>
      </c>
      <c r="K126" s="478">
        <f t="shared" si="54"/>
        <v>0</v>
      </c>
      <c r="L126" s="478">
        <f t="shared" si="54"/>
        <v>0</v>
      </c>
      <c r="M126" s="478">
        <f t="shared" si="54"/>
        <v>0</v>
      </c>
      <c r="N126" s="478">
        <f t="shared" si="54"/>
        <v>0</v>
      </c>
      <c r="O126" s="478">
        <f t="shared" si="54"/>
        <v>0</v>
      </c>
      <c r="Q126" s="106"/>
    </row>
    <row r="127" spans="1:17" ht="14.5" thickBot="1">
      <c r="A127" s="106" t="s">
        <v>273</v>
      </c>
      <c r="B127" s="326"/>
      <c r="C127" s="482">
        <f>IFERROR('Energy balance'!C22*#REF!,0)</f>
        <v>0</v>
      </c>
      <c r="D127" s="482">
        <f>IFERROR('Energy balance'!D22*#REF!,0)</f>
        <v>0</v>
      </c>
      <c r="E127" s="482">
        <f>IFERROR('Energy balance'!E22*#REF!,0)</f>
        <v>0</v>
      </c>
      <c r="F127" s="482">
        <f>IFERROR('Energy balance'!F22*#REF!,0)</f>
        <v>0</v>
      </c>
      <c r="G127" s="482">
        <f>IFERROR('Energy balance'!G22*#REF!,0)</f>
        <v>0</v>
      </c>
      <c r="H127" s="482">
        <f>IFERROR('Energy balance'!H22*#REF!,0)</f>
        <v>0</v>
      </c>
      <c r="I127" s="482">
        <f>IFERROR('Energy balance'!I22*#REF!,0)</f>
        <v>0</v>
      </c>
      <c r="J127" s="482">
        <f>IFERROR('Energy balance'!J22*#REF!,0)</f>
        <v>0</v>
      </c>
      <c r="K127" s="482">
        <f>IFERROR('Energy balance'!K22*#REF!,0)</f>
        <v>0</v>
      </c>
      <c r="L127" s="482">
        <f>IFERROR('Energy balance'!L22*#REF!,0)</f>
        <v>0</v>
      </c>
      <c r="M127" s="483">
        <f>IFERROR('Energy balance'!M22*#REF!,0)</f>
        <v>0</v>
      </c>
      <c r="N127" s="484">
        <f>IFERROR('Energy balance'!N22*#REF!,0)</f>
        <v>0</v>
      </c>
      <c r="O127" s="484">
        <f>IFERROR('Energy balance'!O22*#REF!,0)</f>
        <v>0</v>
      </c>
      <c r="Q127" s="106"/>
    </row>
    <row r="128" spans="1:17" ht="14">
      <c r="A128" s="106" t="s">
        <v>273</v>
      </c>
      <c r="B128" s="363" t="s">
        <v>92</v>
      </c>
      <c r="C128" s="364">
        <f>SUM(C110:C127)</f>
        <v>0</v>
      </c>
      <c r="D128" s="364">
        <f t="shared" ref="D128" si="55">SUM(D110:D127)</f>
        <v>0</v>
      </c>
      <c r="E128" s="364">
        <f t="shared" ref="E128" si="56">SUM(E110:E127)</f>
        <v>0</v>
      </c>
      <c r="F128" s="364">
        <f t="shared" ref="F128" si="57">SUM(F110:F127)</f>
        <v>0</v>
      </c>
      <c r="G128" s="364">
        <f t="shared" ref="G128" si="58">SUM(G110:G127)</f>
        <v>4895.0503853103846</v>
      </c>
      <c r="H128" s="364">
        <f t="shared" ref="H128" si="59">SUM(H110:H127)</f>
        <v>4999.3394578306061</v>
      </c>
      <c r="I128" s="364">
        <f t="shared" ref="I128" si="60">SUM(I110:I127)</f>
        <v>5101.761095167959</v>
      </c>
      <c r="J128" s="364">
        <f t="shared" ref="J128" si="61">SUM(J110:J127)</f>
        <v>4722.9949629810517</v>
      </c>
      <c r="K128" s="364">
        <f t="shared" ref="K128" si="62">SUM(K110:K127)</f>
        <v>5054.1414980047994</v>
      </c>
      <c r="L128" s="364">
        <f t="shared" ref="L128" si="63">SUM(L110:L127)</f>
        <v>5084.6309685866418</v>
      </c>
      <c r="M128" s="364">
        <f t="shared" ref="M128" si="64">SUM(M110:M127)</f>
        <v>4982.9993999805029</v>
      </c>
      <c r="N128" s="364">
        <f t="shared" ref="N128:O128" si="65">SUM(N110:N127)</f>
        <v>4793.2033434139148</v>
      </c>
      <c r="O128" s="364">
        <f>SUM(O110:O127)</f>
        <v>4667.6542395810302</v>
      </c>
      <c r="Q128" s="106"/>
    </row>
    <row r="129" spans="1:17">
      <c r="Q129" s="106"/>
    </row>
    <row r="130" spans="1:17">
      <c r="Q130" s="106"/>
    </row>
    <row r="131" spans="1:17">
      <c r="Q131" s="361"/>
    </row>
    <row r="132" spans="1:17">
      <c r="Q132" s="106"/>
    </row>
    <row r="133" spans="1:17" ht="16" thickBot="1">
      <c r="B133" s="357" t="s">
        <v>987</v>
      </c>
      <c r="Q133" s="362"/>
    </row>
    <row r="134" spans="1:17" ht="14.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986</v>
      </c>
      <c r="Q134" s="106"/>
    </row>
    <row r="135" spans="1:17" ht="14">
      <c r="A135" s="106" t="s">
        <v>739</v>
      </c>
      <c r="B135" s="584" t="s">
        <v>839</v>
      </c>
      <c r="C135" s="478">
        <v>0</v>
      </c>
      <c r="D135" s="478">
        <v>0</v>
      </c>
      <c r="E135" s="478">
        <v>0</v>
      </c>
      <c r="F135" s="591">
        <v>0</v>
      </c>
      <c r="G135" s="591">
        <v>4046.067</v>
      </c>
      <c r="H135" s="591">
        <v>4315.299</v>
      </c>
      <c r="I135" s="591">
        <v>1912.432</v>
      </c>
      <c r="J135" s="591">
        <v>2233.6880000000001</v>
      </c>
      <c r="K135" s="591">
        <v>7701.82</v>
      </c>
      <c r="L135" s="591">
        <v>1147.6759999999999</v>
      </c>
      <c r="M135" s="591">
        <v>765.21400000000006</v>
      </c>
      <c r="N135" s="591">
        <v>875.53099999999995</v>
      </c>
      <c r="O135" s="591">
        <v>76.988</v>
      </c>
      <c r="P135">
        <v>1</v>
      </c>
    </row>
    <row r="136" spans="1:17" ht="14">
      <c r="A136" s="106" t="s">
        <v>739</v>
      </c>
      <c r="B136" s="638" t="s">
        <v>74</v>
      </c>
      <c r="C136" s="479">
        <v>0</v>
      </c>
      <c r="D136" s="479">
        <v>0</v>
      </c>
      <c r="E136" s="479">
        <v>0</v>
      </c>
      <c r="F136" s="591">
        <v>0</v>
      </c>
      <c r="G136" s="591">
        <v>337533.217</v>
      </c>
      <c r="H136" s="591">
        <v>347106.49099999998</v>
      </c>
      <c r="I136" s="591">
        <v>415918.23100000003</v>
      </c>
      <c r="J136" s="591">
        <v>380386.598</v>
      </c>
      <c r="K136" s="591">
        <v>402781.5</v>
      </c>
      <c r="L136" s="591">
        <v>399958.62</v>
      </c>
      <c r="M136" s="591">
        <v>401073.924</v>
      </c>
      <c r="N136" s="591">
        <v>448516.283</v>
      </c>
      <c r="O136" s="591">
        <v>396403.46399999998</v>
      </c>
      <c r="P136">
        <v>1</v>
      </c>
    </row>
    <row r="137" spans="1:17" ht="14">
      <c r="A137" s="106" t="s">
        <v>739</v>
      </c>
      <c r="B137" s="638" t="s">
        <v>838</v>
      </c>
      <c r="C137" s="479">
        <v>0</v>
      </c>
      <c r="D137" s="479">
        <v>0</v>
      </c>
      <c r="E137" s="479">
        <v>0</v>
      </c>
      <c r="F137" s="591">
        <v>0</v>
      </c>
      <c r="G137" s="591">
        <v>15328.323</v>
      </c>
      <c r="H137" s="591">
        <v>16064.819</v>
      </c>
      <c r="I137" s="591">
        <v>19379.050999999999</v>
      </c>
      <c r="J137" s="591">
        <v>16690.377</v>
      </c>
      <c r="K137" s="591">
        <v>14018.093999999999</v>
      </c>
      <c r="L137" s="591">
        <v>17617.266</v>
      </c>
      <c r="M137" s="591">
        <v>11543.832</v>
      </c>
      <c r="N137" s="591">
        <v>7322.58</v>
      </c>
      <c r="O137" s="591">
        <v>7796.3940000000002</v>
      </c>
      <c r="P137">
        <v>1</v>
      </c>
    </row>
    <row r="138" spans="1:17" ht="14">
      <c r="A138" s="106" t="s">
        <v>739</v>
      </c>
      <c r="B138" s="638" t="s">
        <v>837</v>
      </c>
      <c r="C138" s="480">
        <v>0</v>
      </c>
      <c r="D138" s="480">
        <v>0</v>
      </c>
      <c r="E138" s="480">
        <v>0</v>
      </c>
      <c r="F138" s="591">
        <v>0</v>
      </c>
      <c r="G138" s="591">
        <v>0</v>
      </c>
      <c r="H138" s="591">
        <v>0</v>
      </c>
      <c r="I138" s="591">
        <v>0</v>
      </c>
      <c r="J138" s="591">
        <v>0</v>
      </c>
      <c r="K138" s="591">
        <v>0</v>
      </c>
      <c r="L138" s="591">
        <v>0</v>
      </c>
      <c r="M138" s="591">
        <v>0</v>
      </c>
      <c r="N138" s="591">
        <v>0</v>
      </c>
      <c r="O138" s="591">
        <v>0</v>
      </c>
      <c r="P138">
        <v>1</v>
      </c>
    </row>
    <row r="139" spans="1:17" ht="14">
      <c r="A139" s="106" t="s">
        <v>739</v>
      </c>
      <c r="B139" s="638" t="s">
        <v>193</v>
      </c>
      <c r="C139" s="480">
        <v>0</v>
      </c>
      <c r="D139" s="480">
        <v>0</v>
      </c>
      <c r="E139" s="480">
        <v>0</v>
      </c>
      <c r="F139" s="601">
        <v>0</v>
      </c>
      <c r="G139" s="591">
        <v>0</v>
      </c>
      <c r="H139" s="601">
        <v>0</v>
      </c>
      <c r="I139" s="601">
        <v>0</v>
      </c>
      <c r="J139" s="601">
        <v>0</v>
      </c>
      <c r="K139" s="601">
        <v>0</v>
      </c>
      <c r="L139" s="601">
        <v>0</v>
      </c>
      <c r="M139" s="601">
        <v>0</v>
      </c>
      <c r="N139" s="601">
        <v>0</v>
      </c>
      <c r="O139" s="601">
        <v>0</v>
      </c>
      <c r="P139">
        <v>1</v>
      </c>
    </row>
    <row r="140" spans="1:17" ht="14">
      <c r="A140" s="106" t="s">
        <v>739</v>
      </c>
      <c r="B140" s="638" t="s">
        <v>836</v>
      </c>
      <c r="C140" s="480">
        <v>0</v>
      </c>
      <c r="D140" s="480">
        <v>0</v>
      </c>
      <c r="E140" s="480">
        <v>0</v>
      </c>
      <c r="F140" s="591">
        <v>0</v>
      </c>
      <c r="G140" s="591">
        <v>278587.12200000003</v>
      </c>
      <c r="H140" s="591">
        <v>292252.45299999998</v>
      </c>
      <c r="I140" s="591">
        <v>309497.44900000002</v>
      </c>
      <c r="J140" s="591">
        <v>284424.27</v>
      </c>
      <c r="K140" s="591">
        <v>280027.89299999998</v>
      </c>
      <c r="L140" s="591">
        <v>277928.17100000003</v>
      </c>
      <c r="M140" s="591">
        <v>281391.609</v>
      </c>
      <c r="N140" s="591">
        <v>128291.815</v>
      </c>
      <c r="O140" s="591">
        <v>132226.72399999999</v>
      </c>
      <c r="P140">
        <v>1</v>
      </c>
    </row>
    <row r="141" spans="1:17" ht="14">
      <c r="A141" s="106" t="s">
        <v>739</v>
      </c>
      <c r="B141" s="638" t="s">
        <v>834</v>
      </c>
      <c r="C141" s="480">
        <v>0</v>
      </c>
      <c r="D141" s="480">
        <v>0</v>
      </c>
      <c r="E141" s="480">
        <v>0</v>
      </c>
      <c r="F141" s="591">
        <v>0</v>
      </c>
      <c r="G141" s="591">
        <v>1144</v>
      </c>
      <c r="H141" s="591">
        <v>1141</v>
      </c>
      <c r="I141" s="591">
        <v>1112</v>
      </c>
      <c r="J141" s="591">
        <v>1161</v>
      </c>
      <c r="K141" s="591">
        <v>1211</v>
      </c>
      <c r="L141" s="591">
        <v>1189</v>
      </c>
      <c r="M141" s="591">
        <v>1195</v>
      </c>
      <c r="N141" s="591">
        <v>1335</v>
      </c>
      <c r="O141" s="591">
        <v>1264</v>
      </c>
      <c r="P141">
        <v>1</v>
      </c>
    </row>
    <row r="142" spans="1:17" ht="14">
      <c r="A142" s="106" t="s">
        <v>739</v>
      </c>
      <c r="B142" s="638" t="s">
        <v>833</v>
      </c>
      <c r="C142" s="479">
        <v>0</v>
      </c>
      <c r="D142" s="479">
        <v>0</v>
      </c>
      <c r="E142" s="479">
        <v>0</v>
      </c>
      <c r="F142" s="591">
        <v>0</v>
      </c>
      <c r="G142" s="591">
        <v>1615</v>
      </c>
      <c r="H142" s="591">
        <v>1806</v>
      </c>
      <c r="I142" s="591">
        <v>1999</v>
      </c>
      <c r="J142" s="591">
        <v>2222</v>
      </c>
      <c r="K142" s="591">
        <v>2456</v>
      </c>
      <c r="L142" s="591">
        <v>2809</v>
      </c>
      <c r="M142" s="591">
        <v>3234</v>
      </c>
      <c r="N142" s="591">
        <v>3661</v>
      </c>
      <c r="O142" s="591">
        <v>4184</v>
      </c>
      <c r="P142">
        <v>1</v>
      </c>
    </row>
    <row r="143" spans="1:17" ht="14">
      <c r="A143" s="106" t="s">
        <v>739</v>
      </c>
      <c r="B143" s="638" t="s">
        <v>832</v>
      </c>
      <c r="C143" s="479">
        <v>0</v>
      </c>
      <c r="D143" s="479">
        <v>0</v>
      </c>
      <c r="E143" s="479">
        <v>0</v>
      </c>
      <c r="F143" s="591">
        <v>0</v>
      </c>
      <c r="G143" s="591">
        <v>52106</v>
      </c>
      <c r="H143" s="591">
        <v>57229</v>
      </c>
      <c r="I143" s="591">
        <v>61097</v>
      </c>
      <c r="J143" s="591">
        <v>48199</v>
      </c>
      <c r="K143" s="591">
        <v>55310</v>
      </c>
      <c r="L143" s="591">
        <v>53349</v>
      </c>
      <c r="M143" s="591">
        <v>55547</v>
      </c>
      <c r="N143" s="591">
        <v>62040</v>
      </c>
      <c r="O143" s="591">
        <v>64335</v>
      </c>
      <c r="P143">
        <v>1</v>
      </c>
    </row>
    <row r="144" spans="1:17" ht="14">
      <c r="A144" s="106" t="s">
        <v>739</v>
      </c>
      <c r="B144" s="638" t="s">
        <v>831</v>
      </c>
      <c r="C144" s="479">
        <v>0</v>
      </c>
      <c r="D144" s="479">
        <v>0</v>
      </c>
      <c r="E144" s="479">
        <v>0</v>
      </c>
      <c r="F144" s="591">
        <v>0</v>
      </c>
      <c r="G144" s="591">
        <v>11779</v>
      </c>
      <c r="H144" s="591">
        <v>13095</v>
      </c>
      <c r="I144" s="591">
        <v>13296</v>
      </c>
      <c r="J144" s="591">
        <v>14551</v>
      </c>
      <c r="K144" s="591">
        <v>15683</v>
      </c>
      <c r="L144" s="591">
        <v>16395</v>
      </c>
      <c r="M144" s="591">
        <v>16791</v>
      </c>
      <c r="N144" s="591">
        <v>17268</v>
      </c>
      <c r="O144" s="591">
        <v>16855</v>
      </c>
      <c r="P144">
        <v>1</v>
      </c>
    </row>
    <row r="145" spans="1:17" ht="14">
      <c r="A145" s="106" t="s">
        <v>739</v>
      </c>
      <c r="B145" s="638" t="s">
        <v>73</v>
      </c>
      <c r="C145" s="479">
        <v>0</v>
      </c>
      <c r="D145" s="479">
        <v>0</v>
      </c>
      <c r="E145" s="479">
        <v>0</v>
      </c>
      <c r="F145" s="591">
        <v>0</v>
      </c>
      <c r="G145" s="591">
        <f>Raw_Data!C46</f>
        <v>490701.6</v>
      </c>
      <c r="H145" s="591">
        <f>Raw_Data!D46</f>
        <v>501156</v>
      </c>
      <c r="I145" s="591">
        <f>Raw_Data!E46</f>
        <v>511423.2</v>
      </c>
      <c r="J145" s="591">
        <f>Raw_Data!F46</f>
        <v>473454</v>
      </c>
      <c r="K145" s="591">
        <f>Raw_Data!G46</f>
        <v>506649.59999999998</v>
      </c>
      <c r="L145" s="591">
        <f>Raw_Data!H46</f>
        <v>509706</v>
      </c>
      <c r="M145" s="591">
        <f>Raw_Data!I46</f>
        <v>499518</v>
      </c>
      <c r="N145" s="591">
        <f>Raw_Data!J46</f>
        <v>480492</v>
      </c>
      <c r="O145" s="591">
        <f>Raw_Data!K46</f>
        <v>467906.4</v>
      </c>
      <c r="P145">
        <v>1</v>
      </c>
    </row>
    <row r="146" spans="1:17" ht="14">
      <c r="A146" s="106" t="s">
        <v>739</v>
      </c>
      <c r="B146" s="638" t="s">
        <v>200</v>
      </c>
      <c r="C146" s="479">
        <v>0</v>
      </c>
      <c r="D146" s="479">
        <v>0</v>
      </c>
      <c r="E146" s="479">
        <v>0</v>
      </c>
      <c r="F146" s="591">
        <v>0</v>
      </c>
      <c r="G146" s="591">
        <v>85256</v>
      </c>
      <c r="H146" s="591">
        <v>98281</v>
      </c>
      <c r="I146" s="591">
        <v>60742</v>
      </c>
      <c r="J146" s="591">
        <v>55496</v>
      </c>
      <c r="K146" s="591">
        <v>57843</v>
      </c>
      <c r="L146" s="591">
        <v>45553</v>
      </c>
      <c r="M146" s="591">
        <v>52950</v>
      </c>
      <c r="N146" s="591">
        <v>56031</v>
      </c>
      <c r="O146" s="591">
        <v>58194</v>
      </c>
      <c r="P146">
        <v>1</v>
      </c>
    </row>
    <row r="147" spans="1:17" ht="14">
      <c r="A147" s="106" t="s">
        <v>739</v>
      </c>
      <c r="B147" s="639" t="s">
        <v>859</v>
      </c>
      <c r="C147" s="479">
        <v>0</v>
      </c>
      <c r="D147" s="479">
        <v>0</v>
      </c>
      <c r="E147" s="536">
        <v>0</v>
      </c>
      <c r="F147" s="601">
        <v>0</v>
      </c>
      <c r="G147" s="591">
        <v>0</v>
      </c>
      <c r="H147" s="591">
        <v>0</v>
      </c>
      <c r="I147" s="591">
        <v>0</v>
      </c>
      <c r="J147" s="591">
        <v>0</v>
      </c>
      <c r="K147" s="591">
        <v>0</v>
      </c>
      <c r="L147" s="591">
        <v>0</v>
      </c>
      <c r="M147" s="591">
        <v>0</v>
      </c>
      <c r="N147" s="591">
        <v>0</v>
      </c>
      <c r="O147" s="591">
        <v>0</v>
      </c>
      <c r="P147">
        <v>1</v>
      </c>
    </row>
    <row r="148" spans="1:17" ht="14">
      <c r="A148" s="106" t="s">
        <v>739</v>
      </c>
      <c r="B148" s="639" t="s">
        <v>860</v>
      </c>
      <c r="C148" s="479">
        <v>0</v>
      </c>
      <c r="D148" s="479">
        <v>0</v>
      </c>
      <c r="E148" s="479">
        <v>0</v>
      </c>
      <c r="F148" s="602">
        <v>0</v>
      </c>
      <c r="G148" s="591">
        <f>Raw_Data!C42+Raw_Data!C29</f>
        <v>349312.217</v>
      </c>
      <c r="H148" s="591">
        <f>Raw_Data!D42+Raw_Data!D29</f>
        <v>360201.49099999998</v>
      </c>
      <c r="I148" s="591">
        <f>Raw_Data!E42+Raw_Data!E29</f>
        <v>429214.23100000003</v>
      </c>
      <c r="J148" s="591">
        <f>Raw_Data!F42+Raw_Data!F29</f>
        <v>394937.598</v>
      </c>
      <c r="K148" s="591">
        <f>Raw_Data!G42+Raw_Data!G29</f>
        <v>418464.5</v>
      </c>
      <c r="L148" s="591">
        <f>Raw_Data!H42+Raw_Data!H29</f>
        <v>416353.62</v>
      </c>
      <c r="M148" s="591">
        <f>Raw_Data!I42+Raw_Data!I29</f>
        <v>417864.924</v>
      </c>
      <c r="N148" s="591">
        <f>Raw_Data!J42+Raw_Data!J29</f>
        <v>465784.283</v>
      </c>
      <c r="O148" s="591">
        <f>Raw_Data!K42+Raw_Data!K29</f>
        <v>413258.46399999998</v>
      </c>
      <c r="P148">
        <v>1</v>
      </c>
    </row>
    <row r="149" spans="1:17" ht="14">
      <c r="A149" s="106" t="s">
        <v>739</v>
      </c>
      <c r="B149" s="638" t="s">
        <v>835</v>
      </c>
      <c r="C149" s="480">
        <v>0</v>
      </c>
      <c r="D149" s="480">
        <v>0</v>
      </c>
      <c r="E149" s="480">
        <v>0</v>
      </c>
      <c r="F149" s="591">
        <v>0</v>
      </c>
      <c r="G149" s="591">
        <v>75315.629000000001</v>
      </c>
      <c r="H149" s="591">
        <v>81764.510999999999</v>
      </c>
      <c r="I149" s="591">
        <v>85779.278000000006</v>
      </c>
      <c r="J149" s="591">
        <v>75427.385999999999</v>
      </c>
      <c r="K149" s="591">
        <v>82890.468999999997</v>
      </c>
      <c r="L149" s="591">
        <v>82234.720000000001</v>
      </c>
      <c r="M149" s="591">
        <v>85742.468999999997</v>
      </c>
      <c r="N149" s="591">
        <v>88155.035999999993</v>
      </c>
      <c r="O149" s="591">
        <v>90179.67</v>
      </c>
      <c r="P149">
        <v>1</v>
      </c>
    </row>
    <row r="150" spans="1:17" ht="14">
      <c r="A150" s="106" t="s">
        <v>739</v>
      </c>
      <c r="B150" s="584" t="s">
        <v>908</v>
      </c>
      <c r="C150" s="479">
        <v>0</v>
      </c>
      <c r="D150" s="479">
        <v>0</v>
      </c>
      <c r="E150" s="480">
        <v>0</v>
      </c>
      <c r="F150" s="480">
        <v>0</v>
      </c>
      <c r="G150" s="601">
        <v>1883</v>
      </c>
      <c r="H150" s="601">
        <v>1930</v>
      </c>
      <c r="I150" s="601">
        <v>1994</v>
      </c>
      <c r="J150" s="601">
        <v>2633</v>
      </c>
      <c r="K150" s="601">
        <v>1901</v>
      </c>
      <c r="L150" s="601">
        <v>2083</v>
      </c>
      <c r="M150" s="601">
        <v>2399</v>
      </c>
      <c r="N150" s="601">
        <v>2596</v>
      </c>
      <c r="O150" s="601">
        <v>2330</v>
      </c>
      <c r="P150">
        <v>1</v>
      </c>
    </row>
    <row r="151" spans="1:17" ht="14.5" thickBot="1">
      <c r="A151" s="106" t="s">
        <v>739</v>
      </c>
      <c r="B151" s="584" t="s">
        <v>939</v>
      </c>
      <c r="C151" s="482">
        <v>0</v>
      </c>
      <c r="D151" s="482">
        <v>0</v>
      </c>
      <c r="E151" s="482">
        <v>0</v>
      </c>
      <c r="F151" s="482">
        <v>0</v>
      </c>
      <c r="G151" s="691">
        <v>6718.6289999999999</v>
      </c>
      <c r="H151" s="691">
        <v>6563.5110000000004</v>
      </c>
      <c r="I151" s="691">
        <v>6281.2780000000002</v>
      </c>
      <c r="J151" s="691">
        <v>6661.3860000000004</v>
      </c>
      <c r="K151" s="691">
        <v>6329.4690000000001</v>
      </c>
      <c r="L151" s="691">
        <v>6409.7199999999993</v>
      </c>
      <c r="M151" s="691">
        <v>6576.4690000000001</v>
      </c>
      <c r="N151" s="691">
        <v>1255.0360000000001</v>
      </c>
      <c r="O151" s="691">
        <v>1211.67</v>
      </c>
      <c r="P151">
        <v>1</v>
      </c>
    </row>
    <row r="152" spans="1:17" ht="14">
      <c r="A152" s="106" t="s">
        <v>739</v>
      </c>
      <c r="B152" s="363" t="s">
        <v>92</v>
      </c>
      <c r="C152" s="364">
        <v>0</v>
      </c>
      <c r="D152" s="364">
        <v>0</v>
      </c>
      <c r="E152" s="364">
        <v>0</v>
      </c>
      <c r="F152" s="600">
        <v>0</v>
      </c>
      <c r="G152" s="600">
        <v>1712017.3449999997</v>
      </c>
      <c r="H152" s="600">
        <v>1783158.6709999996</v>
      </c>
      <c r="I152" s="600">
        <v>1920241.304</v>
      </c>
      <c r="J152" s="600">
        <v>1759096.0529999998</v>
      </c>
      <c r="K152" s="600">
        <v>1854004.8440000003</v>
      </c>
      <c r="L152" s="600">
        <v>1833516.1129999999</v>
      </c>
      <c r="M152" s="600">
        <v>1837421.665</v>
      </c>
      <c r="N152" s="600">
        <v>1764656.2340000002</v>
      </c>
      <c r="O152" s="600">
        <f>SUM(O135:O151)</f>
        <v>1656221.774</v>
      </c>
    </row>
    <row r="153" spans="1:17">
      <c r="O153" s="600"/>
      <c r="Q153" s="364"/>
    </row>
    <row r="154" spans="1:17">
      <c r="G154" s="600"/>
      <c r="H154" s="600"/>
      <c r="I154" s="600"/>
      <c r="J154" s="600"/>
      <c r="K154" s="600"/>
      <c r="L154" s="600"/>
      <c r="M154" s="600"/>
      <c r="N154" s="600"/>
      <c r="O154" s="600"/>
    </row>
    <row r="155" spans="1:17">
      <c r="O155" s="600"/>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zoomScale="60" zoomScaleNormal="60" workbookViewId="0">
      <selection activeCell="I7" sqref="I7"/>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725</v>
      </c>
      <c r="H1" s="154"/>
      <c r="I1" s="154"/>
      <c r="J1" s="154" t="s">
        <v>826</v>
      </c>
      <c r="K1" s="154"/>
      <c r="L1" s="154"/>
      <c r="M1" s="154"/>
      <c r="N1" s="154"/>
      <c r="O1" s="154"/>
      <c r="P1" s="154"/>
      <c r="Q1" s="154"/>
      <c r="R1" s="154"/>
      <c r="S1" s="154"/>
      <c r="T1" s="154"/>
      <c r="U1" s="154"/>
      <c r="V1" s="154"/>
      <c r="W1" s="154"/>
      <c r="X1" s="154"/>
      <c r="Y1" s="154"/>
      <c r="Z1" s="154"/>
      <c r="AA1" s="154"/>
      <c r="AB1" s="154"/>
    </row>
    <row r="2" spans="1:70" ht="13">
      <c r="D2" s="154"/>
      <c r="E2" s="154"/>
      <c r="F2" s="154"/>
      <c r="G2" s="154" t="s">
        <v>726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9" t="s">
        <v>737</v>
      </c>
      <c r="D3" s="154"/>
      <c r="E3" s="154"/>
      <c r="F3" s="154"/>
      <c r="G3" s="154" t="s">
        <v>727</v>
      </c>
      <c r="H3" s="154">
        <v>1</v>
      </c>
      <c r="I3" s="154"/>
      <c r="J3" s="154">
        <v>2100</v>
      </c>
      <c r="K3" s="154">
        <v>0.99</v>
      </c>
      <c r="L3" s="154"/>
      <c r="M3" s="154"/>
      <c r="N3" s="154"/>
      <c r="O3" s="154"/>
      <c r="P3" s="154"/>
      <c r="Q3" s="154"/>
      <c r="R3" s="154"/>
      <c r="S3" s="154"/>
      <c r="T3" s="154"/>
      <c r="U3" s="154"/>
      <c r="V3" s="154"/>
      <c r="W3" s="154"/>
      <c r="X3" s="154"/>
      <c r="Y3" s="154"/>
      <c r="Z3" s="154"/>
      <c r="AA3" s="154"/>
      <c r="AB3" s="154"/>
      <c r="AH3" s="155" t="s">
        <v>162</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728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944</v>
      </c>
      <c r="I7" s="204" t="s">
        <v>957</v>
      </c>
      <c r="J7" s="204" t="s">
        <v>973</v>
      </c>
      <c r="K7" s="204" t="s">
        <v>945</v>
      </c>
      <c r="L7" s="204" t="s">
        <v>958</v>
      </c>
      <c r="M7" s="204" t="s">
        <v>975</v>
      </c>
      <c r="N7" s="204" t="s">
        <v>946</v>
      </c>
      <c r="O7" s="204" t="s">
        <v>959</v>
      </c>
      <c r="P7" s="204" t="s">
        <v>976</v>
      </c>
      <c r="Q7" s="567" t="str">
        <f>H7&amp;"~2100"</f>
        <v>STOCK~DE1~2100</v>
      </c>
      <c r="R7" s="567" t="str">
        <f>I7&amp;"~2100"</f>
        <v>STOCK~DE2~2100</v>
      </c>
      <c r="S7" s="567" t="str">
        <f>J7&amp;"~2100"</f>
        <v>STOCK~DE3~2100</v>
      </c>
      <c r="T7" s="567" t="s">
        <v>947</v>
      </c>
      <c r="U7" s="567" t="s">
        <v>960</v>
      </c>
      <c r="V7" s="567" t="s">
        <v>977</v>
      </c>
      <c r="W7" s="567" t="s">
        <v>948</v>
      </c>
      <c r="X7" s="567" t="s">
        <v>961</v>
      </c>
      <c r="Y7" s="567" t="s">
        <v>978</v>
      </c>
      <c r="Z7" s="567" t="s">
        <v>949</v>
      </c>
      <c r="AA7" s="567" t="s">
        <v>962</v>
      </c>
      <c r="AB7" s="567" t="s">
        <v>979</v>
      </c>
      <c r="AC7" s="567" t="s">
        <v>950</v>
      </c>
      <c r="AD7" s="567" t="s">
        <v>963</v>
      </c>
      <c r="AE7" s="567" t="s">
        <v>980</v>
      </c>
      <c r="AF7" s="567" t="s">
        <v>951</v>
      </c>
      <c r="AG7" s="567" t="s">
        <v>964</v>
      </c>
      <c r="AH7" s="567" t="s">
        <v>981</v>
      </c>
      <c r="AI7" s="205" t="s">
        <v>952</v>
      </c>
      <c r="AJ7" s="205" t="s">
        <v>965</v>
      </c>
      <c r="AK7" s="205" t="s">
        <v>974</v>
      </c>
      <c r="AL7" s="205" t="s">
        <v>953</v>
      </c>
      <c r="AM7" s="205" t="s">
        <v>966</v>
      </c>
      <c r="AN7" s="205" t="s">
        <v>982</v>
      </c>
      <c r="AO7" s="205" t="s">
        <v>954</v>
      </c>
      <c r="AP7" s="205" t="s">
        <v>967</v>
      </c>
      <c r="AQ7" s="205" t="s">
        <v>983</v>
      </c>
      <c r="AR7" s="205" t="s">
        <v>955</v>
      </c>
      <c r="AS7" s="205" t="s">
        <v>968</v>
      </c>
      <c r="AT7" s="205" t="s">
        <v>984</v>
      </c>
      <c r="AU7" s="159" t="s">
        <v>100</v>
      </c>
      <c r="AV7" s="159" t="s">
        <v>165</v>
      </c>
      <c r="AW7" s="159" t="s">
        <v>93</v>
      </c>
      <c r="AX7" s="298"/>
      <c r="AY7" s="198"/>
      <c r="AZ7" s="199"/>
      <c r="BA7" s="216" t="s">
        <v>956</v>
      </c>
      <c r="BB7" s="217" t="s">
        <v>969</v>
      </c>
      <c r="BC7" s="217" t="s">
        <v>972</v>
      </c>
      <c r="BD7" s="217" t="s">
        <v>956</v>
      </c>
      <c r="BE7" s="217" t="s">
        <v>969</v>
      </c>
      <c r="BF7" s="217" t="s">
        <v>972</v>
      </c>
      <c r="BH7" s="201"/>
      <c r="BI7" s="201"/>
      <c r="BJ7" s="201"/>
      <c r="BK7" s="201"/>
      <c r="BL7" s="201"/>
      <c r="BM7" s="201"/>
      <c r="BN7" s="201"/>
      <c r="BO7" s="201"/>
      <c r="BP7" s="201"/>
      <c r="BQ7" s="201"/>
      <c r="BR7" s="201"/>
    </row>
    <row r="8" spans="1:70" ht="13" thickBot="1">
      <c r="B8" s="161" t="s">
        <v>27</v>
      </c>
      <c r="C8" s="161" t="s">
        <v>123</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Residential Demand Heating Urban Detached -  - Low </v>
      </c>
      <c r="D9" s="127" t="str">
        <f>Commodities!$C$39&amp;","&amp;Commodities!$C$43&amp;","&amp;Commodities!$C$47&amp;","&amp;Commodities!$C$84&amp;","&amp;Commodities!C59</f>
        <v>COMHUDX,COMHUDB,COMHUDBE,COMHSAV,COMHUDSL</v>
      </c>
      <c r="E9" s="7" t="str">
        <f>Commodities!C7</f>
        <v>CHUDB</v>
      </c>
      <c r="G9" s="166"/>
      <c r="H9" s="529" cm="1">
        <f t="array" ref="H9">ROUNDUP(INDEX(Dem!$F$41:$H$44,MATCH(Buildings_DR!$E9,Dem!$B$5:$B$8,0),MATCH(RIGHT(H$7,3),Dem!$F$1:$H$1,0))*_xlfn.IFS(RIGHT($D9,1)="H",$H$4,RIGHT($D9,1)="M",$H$3,RIGHT($D9,1)="L",$H$2),2)</f>
        <v>0</v>
      </c>
      <c r="I9" s="529" cm="1">
        <f t="array" ref="I9">ROUNDUP(INDEX(Dem!$F$41:$H$44,MATCH(Buildings_DR!$E9,Dem!$B$5:$B$8,0),MATCH(RIGHT(I$7,3),Dem!$F$1:$H$1,0))*_xlfn.IFS(RIGHT($D9,1)="H",$H$4,RIGHT($D9,1)="M",$H$3,RIGHT($D9,1)="L",$H$2),2)</f>
        <v>0</v>
      </c>
      <c r="J9" s="529" cm="1">
        <f t="array" ref="J9">ROUNDUP(INDEX(Dem!$F$41:$H$44,MATCH(Buildings_DR!$E9,Dem!$B$5:$B$8,0),MATCH(RIGHT(J$7,3),Dem!$F$1:$H$1,0))*_xlfn.IFS(RIGHT($D9,1)="H",$H$4,RIGHT($D9,1)="M",$H$3,RIGHT($D9,1)="L",$H$2),2)</f>
        <v>0</v>
      </c>
      <c r="K9" s="529" cm="1">
        <f t="array" ref="K9">ROUNDUP(INDEX(Dem!$F$45:$H$48,MATCH(Buildings_DR!$E9,Dem!$B$5:$B$8,0),MATCH(RIGHT(K$7,3),Dem!$F$1:$H$1,0))*_xlfn.IFS(RIGHT($D9,1)="H",$H$4,RIGHT($D9,1)="M",$H$3,RIGHT($D9,1)="L",$H$2),2)</f>
        <v>0</v>
      </c>
      <c r="L9" s="529" cm="1">
        <f t="array" ref="L9">ROUNDUP(INDEX(Dem!$F$45:$H$48,MATCH(Buildings_DR!$E9,Dem!$B$5:$B$8,0),MATCH(RIGHT(L$7,3),Dem!$F$1:$H$1,0))*_xlfn.IFS(RIGHT($D9,1)="H",$H$4,RIGHT($D9,1)="M",$H$3,RIGHT($D9,1)="L",$H$2),2)</f>
        <v>0</v>
      </c>
      <c r="M9" s="529" cm="1">
        <f t="array" ref="M9">ROUNDUP(INDEX(Dem!$F$45:$H$48,MATCH(Buildings_DR!$E9,Dem!$B$5:$B$8,0),MATCH(RIGHT(M$7,3),Dem!$F$1:$H$1,0))*_xlfn.IFS(RIGHT($D9,1)="H",$H$4,RIGHT($D9,1)="M",$H$3,RIGHT($D9,1)="L",$H$2),2)</f>
        <v>0</v>
      </c>
      <c r="N9" s="529" cm="1">
        <f t="array" ref="N9">ROUNDUP(INDEX(Dem!$F$49:$H$52,MATCH(Buildings_DR!$E9,Dem!$B$5:$B$8,0),MATCH(RIGHT(N$7,3),Dem!$F$1:$H$1,0))*_xlfn.IFS(RIGHT($D9,1)="H",$H$4,RIGHT($D9,1)="M",$H$3,RIGHT($D9,1)="L",$H$2),2)</f>
        <v>0</v>
      </c>
      <c r="O9" s="529" cm="1">
        <f t="array" ref="O9">ROUNDUP(INDEX(Dem!$F$49:$H$52,MATCH(Buildings_DR!$E9,Dem!$B$5:$B$8,0),MATCH(RIGHT(O$7,3),Dem!$F$1:$H$1,0))*_xlfn.IFS(RIGHT($D9,1)="H",$H$4,RIGHT($D9,1)="M",$H$3,RIGHT($D9,1)="L",$H$2),2)</f>
        <v>0</v>
      </c>
      <c r="P9" s="529" cm="1">
        <f t="array" ref="P9">ROUNDUP(INDEX(Dem!$F$49:$H$52,MATCH(Buildings_DR!$E9,Dem!$B$5:$B$8,0),MATCH(RIGHT(P$7,3),Dem!$F$1:$H$1,0))*_xlfn.IFS(RIGHT($D9,1)="H",$H$4,RIGHT($D9,1)="M",$H$3,RIGHT($D9,1)="L",$H$2),2)</f>
        <v>0</v>
      </c>
      <c r="Q9" s="529">
        <f t="shared" ref="Q9:S11" si="7">H9*0.6</f>
        <v>0</v>
      </c>
      <c r="R9" s="529">
        <f t="shared" si="7"/>
        <v>0</v>
      </c>
      <c r="S9" s="529">
        <f t="shared" si="7"/>
        <v>0</v>
      </c>
      <c r="T9" s="529">
        <f t="shared" ref="T9:AE9" si="8">H9*0.99</f>
        <v>0</v>
      </c>
      <c r="U9" s="529">
        <f t="shared" si="8"/>
        <v>0</v>
      </c>
      <c r="V9" s="529">
        <f t="shared" si="8"/>
        <v>0</v>
      </c>
      <c r="W9" s="529">
        <f t="shared" si="8"/>
        <v>0</v>
      </c>
      <c r="X9" s="529">
        <f t="shared" si="8"/>
        <v>0</v>
      </c>
      <c r="Y9" s="529">
        <f t="shared" si="8"/>
        <v>0</v>
      </c>
      <c r="Z9" s="529">
        <f t="shared" si="8"/>
        <v>0</v>
      </c>
      <c r="AA9" s="529">
        <f t="shared" si="8"/>
        <v>0</v>
      </c>
      <c r="AB9" s="529">
        <f t="shared" si="8"/>
        <v>0</v>
      </c>
      <c r="AC9" s="529">
        <f t="shared" si="8"/>
        <v>0</v>
      </c>
      <c r="AD9" s="529">
        <f t="shared" si="8"/>
        <v>0</v>
      </c>
      <c r="AE9" s="529">
        <f t="shared" si="8"/>
        <v>0</v>
      </c>
      <c r="AF9" s="529">
        <v>5</v>
      </c>
      <c r="AG9" s="529">
        <v>5</v>
      </c>
      <c r="AH9" s="529">
        <v>5</v>
      </c>
      <c r="AI9" s="519">
        <f t="shared" ref="AI9:AT9" si="9">AI10/2</f>
        <v>3.2199999999999998</v>
      </c>
      <c r="AJ9" s="519" t="e">
        <f t="shared" si="9"/>
        <v>#DIV/0!</v>
      </c>
      <c r="AK9" s="519" t="e">
        <f t="shared" si="9"/>
        <v>#DIV/0!</v>
      </c>
      <c r="AL9" s="519">
        <f>AL10/2</f>
        <v>4.6568899999999998</v>
      </c>
      <c r="AM9" s="519" t="e">
        <f t="shared" si="9"/>
        <v>#DIV/0!</v>
      </c>
      <c r="AN9" s="519" t="e">
        <f t="shared" si="9"/>
        <v>#DIV/0!</v>
      </c>
      <c r="AO9" s="519">
        <f t="shared" si="9"/>
        <v>4.51</v>
      </c>
      <c r="AP9" s="519" t="e">
        <f t="shared" si="9"/>
        <v>#DIV/0!</v>
      </c>
      <c r="AQ9" s="519" t="e">
        <f t="shared" si="9"/>
        <v>#DIV/0!</v>
      </c>
      <c r="AR9" s="519">
        <f t="shared" si="9"/>
        <v>4.84</v>
      </c>
      <c r="AS9" s="519" t="e">
        <f t="shared" si="9"/>
        <v>#DIV/0!</v>
      </c>
      <c r="AT9" s="519" t="e">
        <f t="shared" si="9"/>
        <v>#DIV/0!</v>
      </c>
      <c r="AU9" s="167">
        <v>1</v>
      </c>
      <c r="AV9" s="165">
        <v>1</v>
      </c>
      <c r="AW9" s="160"/>
      <c r="AX9" s="162"/>
      <c r="AY9" s="162"/>
      <c r="AZ9" s="199"/>
      <c r="BA9" s="527">
        <f t="shared" ref="BA9:BA36" si="10">H9*$AU$10*$AV$10</f>
        <v>0</v>
      </c>
      <c r="BB9" s="527">
        <f t="shared" ref="BB9:BB36" si="11">I9*$AU$10*$AV$10</f>
        <v>0</v>
      </c>
      <c r="BC9" s="527">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Residential Demand Heating Urban Detached -  - Medium </v>
      </c>
      <c r="D10" s="127" t="str">
        <f>Commodities!$C$39&amp;","&amp;Commodities!$C$43&amp;","&amp;Commodities!$C$47&amp;","&amp;Commodities!$C$84&amp;","&amp;Commodities!C60</f>
        <v>COMHUDX,COMHUDB,COMHUDBE,COMHSAV,COMHUDSM</v>
      </c>
      <c r="E10" s="191" t="str">
        <f>E9</f>
        <v>CHUDB</v>
      </c>
      <c r="G10" s="191"/>
      <c r="H10" s="529" cm="1">
        <f t="array" ref="H10">ROUNDUP(INDEX(Dem!$F$41:$H$44,MATCH(Buildings_DR!$E10,Dem!$B$5:$B$8,0),MATCH(RIGHT(H$7,3),Dem!$F$1:$H$1,0))*_xlfn.IFS(RIGHT($D10,1)="H",$H$4,RIGHT($D10,1)="M",$H$3,RIGHT($D10,1)="L",$H$2),2)</f>
        <v>904.63</v>
      </c>
      <c r="I10" s="529" cm="1">
        <f t="array" ref="I10">ROUNDUP(INDEX(Dem!$F$41:$H$44,MATCH(Buildings_DR!$E10,Dem!$B$5:$B$8,0),MATCH(RIGHT(I$7,3),Dem!$F$1:$H$1,0))*_xlfn.IFS(RIGHT($D10,1)="H",$H$4,RIGHT($D10,1)="M",$H$3,RIGHT($D10,1)="L",$H$2),2)</f>
        <v>0</v>
      </c>
      <c r="J10" s="529" cm="1">
        <f t="array" ref="J10">ROUNDUP(INDEX(Dem!$F$41:$H$44,MATCH(Buildings_DR!$E10,Dem!$B$5:$B$8,0),MATCH(RIGHT(J$7,3),Dem!$F$1:$H$1,0))*_xlfn.IFS(RIGHT($D10,1)="H",$H$4,RIGHT($D10,1)="M",$H$3,RIGHT($D10,1)="L",$H$2),2)</f>
        <v>0</v>
      </c>
      <c r="K10" s="529" cm="1">
        <f t="array" ref="K10">ROUNDUP(INDEX(Dem!$F$45:$H$48,MATCH(Buildings_DR!$E10,Dem!$B$5:$B$8,0),MATCH(RIGHT(K$7,3),Dem!$F$1:$H$1,0))*_xlfn.IFS(RIGHT($D10,1)="H",$H$4,RIGHT($D10,1)="M",$H$3,RIGHT($D10,1)="L",$H$2),2)</f>
        <v>933.1</v>
      </c>
      <c r="L10" s="529" cm="1">
        <f t="array" ref="L10">ROUNDUP(INDEX(Dem!$F$45:$H$48,MATCH(Buildings_DR!$E10,Dem!$B$5:$B$8,0),MATCH(RIGHT(L$7,3),Dem!$F$1:$H$1,0))*_xlfn.IFS(RIGHT($D10,1)="H",$H$4,RIGHT($D10,1)="M",$H$3,RIGHT($D10,1)="L",$H$2),2)</f>
        <v>0</v>
      </c>
      <c r="M10" s="529" cm="1">
        <f t="array" ref="M10">ROUNDUP(INDEX(Dem!$F$45:$H$48,MATCH(Buildings_DR!$E10,Dem!$B$5:$B$8,0),MATCH(RIGHT(M$7,3),Dem!$F$1:$H$1,0))*_xlfn.IFS(RIGHT($D10,1)="H",$H$4,RIGHT($D10,1)="M",$H$3,RIGHT($D10,1)="L",$H$2),2)</f>
        <v>0</v>
      </c>
      <c r="N10" s="529" cm="1">
        <f t="array" ref="N10">ROUNDUP(INDEX(Dem!$F$49:$H$52,MATCH(Buildings_DR!$E10,Dem!$B$5:$B$8,0),MATCH(RIGHT(N$7,3),Dem!$F$1:$H$1,0))*_xlfn.IFS(RIGHT($D10,1)="H",$H$4,RIGHT($D10,1)="M",$H$3,RIGHT($D10,1)="L",$H$2),2)</f>
        <v>947.09</v>
      </c>
      <c r="O10" s="529" cm="1">
        <f t="array" ref="O10">ROUNDUP(INDEX(Dem!$F$49:$H$52,MATCH(Buildings_DR!$E10,Dem!$B$5:$B$8,0),MATCH(RIGHT(O$7,3),Dem!$F$1:$H$1,0))*_xlfn.IFS(RIGHT($D10,1)="H",$H$4,RIGHT($D10,1)="M",$H$3,RIGHT($D10,1)="L",$H$2),2)</f>
        <v>0</v>
      </c>
      <c r="P10" s="529" cm="1">
        <f t="array" ref="P10">ROUNDUP(INDEX(Dem!$F$49:$H$52,MATCH(Buildings_DR!$E10,Dem!$B$5:$B$8,0),MATCH(RIGHT(P$7,3),Dem!$F$1:$H$1,0))*_xlfn.IFS(RIGHT($D10,1)="H",$H$4,RIGHT($D10,1)="M",$H$3,RIGHT($D10,1)="L",$H$2),2)</f>
        <v>0</v>
      </c>
      <c r="Q10" s="529">
        <f t="shared" si="7"/>
        <v>542.77800000000002</v>
      </c>
      <c r="R10" s="529">
        <f t="shared" si="7"/>
        <v>0</v>
      </c>
      <c r="S10" s="529">
        <f t="shared" si="7"/>
        <v>0</v>
      </c>
      <c r="T10" s="529">
        <f t="shared" ref="T10:AB10" si="14">H10*$K$2</f>
        <v>895.58370000000002</v>
      </c>
      <c r="U10" s="529">
        <f t="shared" si="14"/>
        <v>0</v>
      </c>
      <c r="V10" s="529">
        <f t="shared" si="14"/>
        <v>0</v>
      </c>
      <c r="W10" s="529">
        <f>K10*$K$2</f>
        <v>923.76900000000001</v>
      </c>
      <c r="X10" s="529">
        <f t="shared" si="14"/>
        <v>0</v>
      </c>
      <c r="Y10" s="529">
        <f t="shared" si="14"/>
        <v>0</v>
      </c>
      <c r="Z10" s="529">
        <f t="shared" si="14"/>
        <v>937.6191</v>
      </c>
      <c r="AA10" s="529">
        <f t="shared" si="14"/>
        <v>0</v>
      </c>
      <c r="AB10" s="529">
        <f t="shared" si="14"/>
        <v>0</v>
      </c>
      <c r="AC10" s="529">
        <f>Q10*$K$3</f>
        <v>537.35022000000004</v>
      </c>
      <c r="AD10" s="529">
        <f>R10*$K$3</f>
        <v>0</v>
      </c>
      <c r="AE10" s="529">
        <f>S10*$K$3</f>
        <v>0</v>
      </c>
      <c r="AF10" s="529">
        <v>5</v>
      </c>
      <c r="AG10" s="529">
        <v>5</v>
      </c>
      <c r="AH10" s="529">
        <v>5</v>
      </c>
      <c r="AI10" s="520">
        <f>ROUNDUP(SUM(H9:H15)/SUM(Boilers_DR!AB6:AB16),2)</f>
        <v>6.4399999999999995</v>
      </c>
      <c r="AJ10" s="520" t="e">
        <f>ROUNDUP(SUM(I9:I15)/SUM(Boilers_DR!AC6:AC16),2)</f>
        <v>#DIV/0!</v>
      </c>
      <c r="AK10" s="520" t="e">
        <f>ROUNDUP(SUM(J9:J15)/SUM(Boilers_DR!AD6:AD16),2)</f>
        <v>#DIV/0!</v>
      </c>
      <c r="AL10" s="520">
        <f>ROUNDUP(SUM(K9:K15)/SUM(Boilers_DR!AB50:AB59),2)*AL3</f>
        <v>9.3137799999999995</v>
      </c>
      <c r="AM10" s="520" t="e">
        <f>ROUNDUP(SUM(L9:L15)/SUM(Boilers_DR!AC50:AC59),2)*AM3</f>
        <v>#DIV/0!</v>
      </c>
      <c r="AN10" s="520" t="e">
        <f>ROUNDUP(SUM(M9:M15)/SUM(Boilers_DR!AD50:AD59),2)*AN3</f>
        <v>#DIV/0!</v>
      </c>
      <c r="AO10" s="520">
        <f>ROUNDUP(SUM(N9:N15)/SUM(Boilers_DR!AB90:AB99),2)</f>
        <v>9.02</v>
      </c>
      <c r="AP10" s="520" t="e">
        <f>ROUNDUP(SUM(O9:O15)/SUM(Boilers_DR!AC90:AC99),2)</f>
        <v>#DIV/0!</v>
      </c>
      <c r="AQ10" s="520" t="e">
        <f>ROUNDUP(SUM(P9:P15)/SUM(Boilers_DR!AD90:AD99),2)</f>
        <v>#DIV/0!</v>
      </c>
      <c r="AR10" s="520">
        <f>ROUNDUP(SUM(N9:N15)/SUM(Boilers_DR!AB130:AB139),2)</f>
        <v>9.68</v>
      </c>
      <c r="AS10" s="520" t="e">
        <f>ROUNDUP(SUM(O9:O15)/SUM(Boilers_DR!AC130:AC139),2)</f>
        <v>#DIV/0!</v>
      </c>
      <c r="AT10" s="520" t="e">
        <f>ROUNDUP(SUM(P9:P15)/SUM(Boilers_DR!AD130:AD139),2)</f>
        <v>#DIV/0!</v>
      </c>
      <c r="AU10" s="163">
        <v>1</v>
      </c>
      <c r="AV10" s="162">
        <v>1</v>
      </c>
      <c r="AW10" s="160"/>
      <c r="AX10" s="162"/>
      <c r="AY10" s="162"/>
      <c r="AZ10" s="199"/>
      <c r="BA10" s="527">
        <f t="shared" si="10"/>
        <v>904.63</v>
      </c>
      <c r="BB10" s="527">
        <f t="shared" si="11"/>
        <v>0</v>
      </c>
      <c r="BC10" s="527">
        <f t="shared" si="12"/>
        <v>0</v>
      </c>
      <c r="BD10" s="528">
        <f t="shared" si="13"/>
        <v>140.47049689440996</v>
      </c>
      <c r="BE10" s="528" t="e">
        <f t="shared" si="13"/>
        <v>#DIV/0!</v>
      </c>
      <c r="BF10" s="528"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Residential Demand Heating Urban Detached -  - High </v>
      </c>
      <c r="D11" s="127" t="str">
        <f>Commodities!$C$39&amp;","&amp;Commodities!$C$43&amp;","&amp;Commodities!$C$47&amp;","&amp;Commodities!$C$84&amp;","&amp;Commodities!C61</f>
        <v>COMHUDX,COMHUDB,COMHUDBE,COMHSAV,COMHUDSH</v>
      </c>
      <c r="E11" s="191" t="str">
        <f>E10</f>
        <v>CHUDB</v>
      </c>
      <c r="G11" s="191"/>
      <c r="H11" s="529" cm="1">
        <f t="array" ref="H11">ROUNDUP(INDEX(Dem!$F$41:$H$44,MATCH(Buildings_DR!$E11,Dem!$B$5:$B$8,0),MATCH(RIGHT(H$7,3),Dem!$F$1:$H$1,0))*_xlfn.IFS(RIGHT($D11,1)="H",$H$4,RIGHT($D11,1)="M",$H$3,RIGHT($D11,1)="L",$H$2),2)</f>
        <v>0</v>
      </c>
      <c r="I11" s="529" cm="1">
        <f t="array" ref="I11">ROUNDUP(INDEX(Dem!$F$41:$H$44,MATCH(Buildings_DR!$E11,Dem!$B$5:$B$8,0),MATCH(RIGHT(I$7,3),Dem!$F$1:$H$1,0))*_xlfn.IFS(RIGHT($D11,1)="H",$H$4,RIGHT($D11,1)="M",$H$3,RIGHT($D11,1)="L",$H$2),2)</f>
        <v>0</v>
      </c>
      <c r="J11" s="529" cm="1">
        <f t="array" ref="J11">ROUNDUP(INDEX(Dem!$F$41:$H$44,MATCH(Buildings_DR!$E11,Dem!$B$5:$B$8,0),MATCH(RIGHT(J$7,3),Dem!$F$1:$H$1,0))*_xlfn.IFS(RIGHT($D11,1)="H",$H$4,RIGHT($D11,1)="M",$H$3,RIGHT($D11,1)="L",$H$2),2)</f>
        <v>0</v>
      </c>
      <c r="K11" s="529" cm="1">
        <f t="array" ref="K11">ROUNDUP(INDEX(Dem!$F$45:$H$48,MATCH(Buildings_DR!$E11,Dem!$B$5:$B$8,0),MATCH(RIGHT(K$7,3),Dem!$F$1:$H$1,0))*_xlfn.IFS(RIGHT($D11,1)="H",$H$4,RIGHT($D11,1)="M",$H$3,RIGHT($D11,1)="L",$H$2),2)</f>
        <v>0</v>
      </c>
      <c r="L11" s="529" cm="1">
        <f t="array" ref="L11">ROUNDUP(INDEX(Dem!$F$45:$H$48,MATCH(Buildings_DR!$E11,Dem!$B$5:$B$8,0),MATCH(RIGHT(L$7,3),Dem!$F$1:$H$1,0))*_xlfn.IFS(RIGHT($D11,1)="H",$H$4,RIGHT($D11,1)="M",$H$3,RIGHT($D11,1)="L",$H$2),2)</f>
        <v>0</v>
      </c>
      <c r="M11" s="529" cm="1">
        <f t="array" ref="M11">ROUNDUP(INDEX(Dem!$F$45:$H$48,MATCH(Buildings_DR!$E11,Dem!$B$5:$B$8,0),MATCH(RIGHT(M$7,3),Dem!$F$1:$H$1,0))*_xlfn.IFS(RIGHT($D11,1)="H",$H$4,RIGHT($D11,1)="M",$H$3,RIGHT($D11,1)="L",$H$2),2)</f>
        <v>0</v>
      </c>
      <c r="N11" s="529" cm="1">
        <f t="array" ref="N11">ROUNDUP(INDEX(Dem!$F$49:$H$52,MATCH(Buildings_DR!$E11,Dem!$B$5:$B$8,0),MATCH(RIGHT(N$7,3),Dem!$F$1:$H$1,0))*_xlfn.IFS(RIGHT($D11,1)="H",$H$4,RIGHT($D11,1)="M",$H$3,RIGHT($D11,1)="L",$H$2),2)</f>
        <v>0</v>
      </c>
      <c r="O11" s="529" cm="1">
        <f t="array" ref="O11">ROUNDUP(INDEX(Dem!$F$49:$H$52,MATCH(Buildings_DR!$E11,Dem!$B$5:$B$8,0),MATCH(RIGHT(O$7,3),Dem!$F$1:$H$1,0))*_xlfn.IFS(RIGHT($D11,1)="H",$H$4,RIGHT($D11,1)="M",$H$3,RIGHT($D11,1)="L",$H$2),2)</f>
        <v>0</v>
      </c>
      <c r="P11" s="529" cm="1">
        <f t="array" ref="P11">ROUNDUP(INDEX(Dem!$F$49:$H$52,MATCH(Buildings_DR!$E11,Dem!$B$5:$B$8,0),MATCH(RIGHT(P$7,3),Dem!$F$1:$H$1,0))*_xlfn.IFS(RIGHT($D11,1)="H",$H$4,RIGHT($D11,1)="M",$H$3,RIGHT($D11,1)="L",$H$2),2)</f>
        <v>0</v>
      </c>
      <c r="Q11" s="529">
        <f t="shared" si="7"/>
        <v>0</v>
      </c>
      <c r="R11" s="529">
        <f t="shared" si="7"/>
        <v>0</v>
      </c>
      <c r="S11" s="529">
        <f t="shared" si="7"/>
        <v>0</v>
      </c>
      <c r="T11" s="529">
        <f t="shared" ref="T11:AE11" si="15">H11*0.99</f>
        <v>0</v>
      </c>
      <c r="U11" s="529">
        <f t="shared" si="15"/>
        <v>0</v>
      </c>
      <c r="V11" s="529">
        <f t="shared" si="15"/>
        <v>0</v>
      </c>
      <c r="W11" s="529">
        <f t="shared" si="15"/>
        <v>0</v>
      </c>
      <c r="X11" s="529">
        <f t="shared" si="15"/>
        <v>0</v>
      </c>
      <c r="Y11" s="529">
        <f t="shared" si="15"/>
        <v>0</v>
      </c>
      <c r="Z11" s="529">
        <f t="shared" si="15"/>
        <v>0</v>
      </c>
      <c r="AA11" s="529">
        <f t="shared" si="15"/>
        <v>0</v>
      </c>
      <c r="AB11" s="529">
        <f t="shared" si="15"/>
        <v>0</v>
      </c>
      <c r="AC11" s="529">
        <f t="shared" si="15"/>
        <v>0</v>
      </c>
      <c r="AD11" s="529">
        <f t="shared" si="15"/>
        <v>0</v>
      </c>
      <c r="AE11" s="529">
        <f t="shared" si="15"/>
        <v>0</v>
      </c>
      <c r="AF11" s="529">
        <v>5</v>
      </c>
      <c r="AG11" s="529">
        <v>5</v>
      </c>
      <c r="AH11" s="529">
        <v>5</v>
      </c>
      <c r="AI11" s="520">
        <f t="shared" ref="AI11:AQ11" si="16">AI10/2+AI12/2</f>
        <v>5.2249999999999996</v>
      </c>
      <c r="AJ11" s="520" t="e">
        <f t="shared" si="16"/>
        <v>#DIV/0!</v>
      </c>
      <c r="AK11" s="520" t="e">
        <f t="shared" si="16"/>
        <v>#DIV/0!</v>
      </c>
      <c r="AL11" s="520">
        <f t="shared" si="16"/>
        <v>6.6618899999999996</v>
      </c>
      <c r="AM11" s="520" t="e">
        <f t="shared" si="16"/>
        <v>#DIV/0!</v>
      </c>
      <c r="AN11" s="520" t="e">
        <f t="shared" si="16"/>
        <v>#DIV/0!</v>
      </c>
      <c r="AO11" s="520">
        <f t="shared" si="16"/>
        <v>6.5149999999999997</v>
      </c>
      <c r="AP11" s="520" t="e">
        <f t="shared" si="16"/>
        <v>#DIV/0!</v>
      </c>
      <c r="AQ11" s="520" t="e">
        <f t="shared" si="16"/>
        <v>#DIV/0!</v>
      </c>
      <c r="AR11" s="520">
        <f t="shared" ref="AR11:AT11" si="17">AR10/2+AR12/2</f>
        <v>6.8449999999999998</v>
      </c>
      <c r="AS11" s="520" t="e">
        <f t="shared" si="17"/>
        <v>#DIV/0!</v>
      </c>
      <c r="AT11" s="520" t="e">
        <f t="shared" si="17"/>
        <v>#DIV/0!</v>
      </c>
      <c r="AU11" s="163">
        <v>1</v>
      </c>
      <c r="AV11" s="162">
        <v>1</v>
      </c>
      <c r="AW11" s="162"/>
      <c r="AX11" s="162"/>
      <c r="AY11" s="162"/>
      <c r="AZ11" s="199"/>
      <c r="BA11" s="527">
        <f t="shared" si="10"/>
        <v>0</v>
      </c>
      <c r="BB11" s="527">
        <f t="shared" si="11"/>
        <v>0</v>
      </c>
      <c r="BC11" s="527">
        <f t="shared" si="12"/>
        <v>0</v>
      </c>
      <c r="BD11" s="528">
        <f t="shared" si="13"/>
        <v>0</v>
      </c>
      <c r="BE11" s="528" t="e">
        <f t="shared" si="13"/>
        <v>#DIV/0!</v>
      </c>
      <c r="BF11" s="528"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Residential Demand Heating Urban Detached -  - New </v>
      </c>
      <c r="D12" s="127" t="str">
        <f>Commodities!$C$39&amp;","&amp;Commodities!$C$43&amp;","&amp;Commodities!$C$51</f>
        <v>COMHUDX,COMHUDB,COMHUDBN</v>
      </c>
      <c r="E12" s="191" t="str">
        <f>E11</f>
        <v>CHUDB</v>
      </c>
      <c r="F12" s="156">
        <v>2011</v>
      </c>
      <c r="G12" s="191">
        <v>2011</v>
      </c>
      <c r="H12" s="529"/>
      <c r="I12" s="529"/>
      <c r="J12" s="529"/>
      <c r="K12" s="529"/>
      <c r="L12" s="529"/>
      <c r="M12" s="529"/>
      <c r="N12" s="529"/>
      <c r="O12" s="529"/>
      <c r="P12" s="529"/>
      <c r="Q12" s="529"/>
      <c r="R12" s="529"/>
      <c r="S12" s="529"/>
      <c r="T12" s="529"/>
      <c r="U12" s="529"/>
      <c r="V12" s="529"/>
      <c r="W12" s="529"/>
      <c r="X12" s="529"/>
      <c r="Y12" s="529"/>
      <c r="Z12" s="529"/>
      <c r="AA12" s="529"/>
      <c r="AB12" s="529"/>
      <c r="AC12" s="529"/>
      <c r="AD12" s="529"/>
      <c r="AE12" s="529"/>
      <c r="AF12" s="529"/>
      <c r="AG12" s="529"/>
      <c r="AH12" s="529"/>
      <c r="AI12" s="521">
        <f>ROUND(Sources!$T$8,2)</f>
        <v>4.01</v>
      </c>
      <c r="AJ12" s="521">
        <f>ROUND(Sources!$T$8,2)</f>
        <v>4.01</v>
      </c>
      <c r="AK12" s="521">
        <f>ROUND(Sources!$T$8,2)</f>
        <v>4.01</v>
      </c>
      <c r="AL12" s="521">
        <f>ROUND(Sources!$T$8,2)</f>
        <v>4.01</v>
      </c>
      <c r="AM12" s="521">
        <f>ROUND(Sources!$T$8,2)</f>
        <v>4.01</v>
      </c>
      <c r="AN12" s="521">
        <f>ROUND(Sources!$T$8,2)</f>
        <v>4.01</v>
      </c>
      <c r="AO12" s="521">
        <f>ROUND(Sources!$T$8,2)</f>
        <v>4.01</v>
      </c>
      <c r="AP12" s="521">
        <f>ROUND(Sources!$T$8,2)</f>
        <v>4.01</v>
      </c>
      <c r="AQ12" s="521">
        <f>ROUND(Sources!$T$8,2)</f>
        <v>4.01</v>
      </c>
      <c r="AR12" s="521">
        <f>ROUND(Sources!$T$8,2)</f>
        <v>4.01</v>
      </c>
      <c r="AS12" s="521">
        <f>ROUND(Sources!$T$8,2)</f>
        <v>4.01</v>
      </c>
      <c r="AT12" s="521">
        <f>ROUND(Sources!$T$8,2)</f>
        <v>4.01</v>
      </c>
      <c r="AU12" s="163">
        <v>1</v>
      </c>
      <c r="AV12" s="168">
        <v>1</v>
      </c>
      <c r="AW12" s="162">
        <v>100</v>
      </c>
      <c r="AX12" s="162"/>
      <c r="BA12" s="527">
        <f t="shared" si="10"/>
        <v>0</v>
      </c>
      <c r="BB12" s="527">
        <f t="shared" si="11"/>
        <v>0</v>
      </c>
      <c r="BC12" s="527">
        <f t="shared" si="12"/>
        <v>0</v>
      </c>
      <c r="BD12" s="528">
        <f t="shared" ref="BD12:BF15" si="18">BA12/AI26</f>
        <v>0</v>
      </c>
      <c r="BE12" s="528">
        <f t="shared" si="18"/>
        <v>0</v>
      </c>
      <c r="BF12" s="528">
        <f t="shared" si="18"/>
        <v>0</v>
      </c>
      <c r="BH12" s="201"/>
      <c r="BI12" s="201"/>
      <c r="BJ12" s="201"/>
      <c r="BK12" s="201"/>
      <c r="BL12" s="201"/>
      <c r="BM12" s="201"/>
      <c r="BN12" s="201"/>
      <c r="BO12" s="201"/>
      <c r="BP12" s="201"/>
      <c r="BQ12" s="201"/>
      <c r="BR12" s="201"/>
    </row>
    <row r="13" spans="1:70">
      <c r="B13" s="162"/>
      <c r="C13" s="162"/>
      <c r="D13" s="553"/>
      <c r="E13" s="191"/>
      <c r="F13" s="156">
        <v>2016</v>
      </c>
      <c r="H13" s="529"/>
      <c r="I13" s="529"/>
      <c r="J13" s="529"/>
      <c r="K13" s="529"/>
      <c r="L13" s="529"/>
      <c r="M13" s="529"/>
      <c r="N13" s="529"/>
      <c r="O13" s="529"/>
      <c r="P13" s="529"/>
      <c r="Q13" s="529"/>
      <c r="R13" s="529"/>
      <c r="S13" s="529"/>
      <c r="T13" s="529"/>
      <c r="U13" s="529"/>
      <c r="V13" s="529"/>
      <c r="W13" s="529"/>
      <c r="X13" s="529"/>
      <c r="Y13" s="529"/>
      <c r="Z13" s="529"/>
      <c r="AA13" s="529"/>
      <c r="AB13" s="529"/>
      <c r="AC13" s="529"/>
      <c r="AD13" s="529"/>
      <c r="AE13" s="529"/>
      <c r="AF13" s="529"/>
      <c r="AG13" s="529"/>
      <c r="AH13" s="529"/>
      <c r="AI13" s="521">
        <f>ROUND(Sources!$T$9,2)</f>
        <v>4.75</v>
      </c>
      <c r="AJ13" s="521">
        <f>ROUND(Sources!$T$9,2)</f>
        <v>4.75</v>
      </c>
      <c r="AK13" s="521">
        <f>ROUND(Sources!$T$9,2)</f>
        <v>4.75</v>
      </c>
      <c r="AL13" s="521">
        <f>ROUND(Sources!$T$9,2)</f>
        <v>4.75</v>
      </c>
      <c r="AM13" s="521">
        <f>ROUND(Sources!$T$9,2)</f>
        <v>4.75</v>
      </c>
      <c r="AN13" s="521">
        <f>ROUND(Sources!$T$9,2)</f>
        <v>4.75</v>
      </c>
      <c r="AO13" s="521">
        <f>ROUND(Sources!$T$9,2)</f>
        <v>4.75</v>
      </c>
      <c r="AP13" s="521">
        <f>ROUND(Sources!$T$9,2)</f>
        <v>4.75</v>
      </c>
      <c r="AQ13" s="521">
        <f>ROUND(Sources!$T$9,2)</f>
        <v>4.75</v>
      </c>
      <c r="AR13" s="521">
        <f>ROUND(Sources!$T$9,2)</f>
        <v>4.75</v>
      </c>
      <c r="AS13" s="521">
        <f>ROUND(Sources!$T$9,2)</f>
        <v>4.75</v>
      </c>
      <c r="AT13" s="521">
        <f>ROUND(Sources!$T$9,2)</f>
        <v>4.75</v>
      </c>
      <c r="AU13" s="163">
        <v>1</v>
      </c>
      <c r="AV13" s="168">
        <v>1</v>
      </c>
      <c r="AW13" s="162">
        <v>100</v>
      </c>
      <c r="AX13" s="162"/>
      <c r="BA13" s="527">
        <f t="shared" si="10"/>
        <v>0</v>
      </c>
      <c r="BB13" s="527">
        <f t="shared" si="11"/>
        <v>0</v>
      </c>
      <c r="BC13" s="527">
        <f t="shared" si="12"/>
        <v>0</v>
      </c>
      <c r="BD13" s="528">
        <f t="shared" si="18"/>
        <v>0</v>
      </c>
      <c r="BE13" s="528">
        <f t="shared" si="18"/>
        <v>0</v>
      </c>
      <c r="BF13" s="528">
        <f t="shared" si="18"/>
        <v>0</v>
      </c>
      <c r="BH13" s="201"/>
      <c r="BI13" s="201"/>
      <c r="BJ13" s="201"/>
      <c r="BK13" s="201"/>
      <c r="BL13" s="201"/>
      <c r="BM13" s="201"/>
      <c r="BN13" s="201"/>
      <c r="BO13" s="201"/>
      <c r="BP13" s="201"/>
      <c r="BQ13" s="201"/>
      <c r="BR13" s="201"/>
    </row>
    <row r="14" spans="1:70">
      <c r="B14" s="162"/>
      <c r="C14" s="162"/>
      <c r="D14" s="553"/>
      <c r="E14" s="191"/>
      <c r="F14" s="156">
        <v>2021</v>
      </c>
      <c r="H14" s="529"/>
      <c r="I14" s="529"/>
      <c r="J14" s="529"/>
      <c r="K14" s="529"/>
      <c r="L14" s="529"/>
      <c r="M14" s="529"/>
      <c r="N14" s="529"/>
      <c r="O14" s="529"/>
      <c r="P14" s="529"/>
      <c r="Q14" s="529"/>
      <c r="R14" s="529"/>
      <c r="S14" s="529"/>
      <c r="T14" s="529"/>
      <c r="U14" s="529"/>
      <c r="V14" s="529"/>
      <c r="W14" s="529"/>
      <c r="X14" s="529"/>
      <c r="Y14" s="529"/>
      <c r="Z14" s="529"/>
      <c r="AA14" s="529"/>
      <c r="AB14" s="529"/>
      <c r="AC14" s="529"/>
      <c r="AD14" s="529"/>
      <c r="AE14" s="529"/>
      <c r="AF14" s="529"/>
      <c r="AG14" s="529"/>
      <c r="AH14" s="529"/>
      <c r="AI14" s="521">
        <f>ROUND(Sources!$T$10,2)</f>
        <v>6.08</v>
      </c>
      <c r="AJ14" s="521">
        <f>ROUND(Sources!$T$10,2)</f>
        <v>6.08</v>
      </c>
      <c r="AK14" s="521">
        <f>ROUND(Sources!$T$10,2)</f>
        <v>6.08</v>
      </c>
      <c r="AL14" s="521">
        <f>ROUND(Sources!$T$10,2)</f>
        <v>6.08</v>
      </c>
      <c r="AM14" s="521">
        <f>ROUND(Sources!$T$10,2)</f>
        <v>6.08</v>
      </c>
      <c r="AN14" s="521">
        <f>ROUND(Sources!$T$10,2)</f>
        <v>6.08</v>
      </c>
      <c r="AO14" s="521">
        <f>ROUND(Sources!$T$10,2)</f>
        <v>6.08</v>
      </c>
      <c r="AP14" s="521">
        <f>ROUND(Sources!$T$10,2)</f>
        <v>6.08</v>
      </c>
      <c r="AQ14" s="521">
        <f>ROUND(Sources!$T$10,2)</f>
        <v>6.08</v>
      </c>
      <c r="AR14" s="521">
        <f>ROUND(Sources!$T$10,2)</f>
        <v>6.08</v>
      </c>
      <c r="AS14" s="521">
        <f>ROUND(Sources!$T$10,2)</f>
        <v>6.08</v>
      </c>
      <c r="AT14" s="521">
        <f>ROUND(Sources!$T$10,2)</f>
        <v>6.08</v>
      </c>
      <c r="AU14" s="163">
        <v>1</v>
      </c>
      <c r="AV14" s="168">
        <v>1</v>
      </c>
      <c r="AW14" s="162">
        <v>100</v>
      </c>
      <c r="AX14" s="162"/>
      <c r="BA14" s="527">
        <f t="shared" si="10"/>
        <v>0</v>
      </c>
      <c r="BB14" s="527">
        <f t="shared" si="11"/>
        <v>0</v>
      </c>
      <c r="BC14" s="527">
        <f t="shared" si="12"/>
        <v>0</v>
      </c>
      <c r="BD14" s="528">
        <f t="shared" si="18"/>
        <v>0</v>
      </c>
      <c r="BE14" s="528">
        <f t="shared" si="18"/>
        <v>0</v>
      </c>
      <c r="BF14" s="528">
        <f t="shared" si="18"/>
        <v>0</v>
      </c>
      <c r="BH14" s="201"/>
      <c r="BI14" s="201"/>
      <c r="BJ14" s="201"/>
      <c r="BK14" s="201"/>
      <c r="BL14" s="201"/>
      <c r="BM14" s="201"/>
      <c r="BN14" s="201"/>
      <c r="BO14" s="201"/>
      <c r="BP14" s="201"/>
      <c r="BQ14" s="201"/>
      <c r="BR14" s="201"/>
    </row>
    <row r="15" spans="1:70" ht="13" thickBot="1">
      <c r="B15" s="162"/>
      <c r="C15" s="162"/>
      <c r="D15" s="553"/>
      <c r="E15" s="212"/>
      <c r="F15" s="164">
        <v>2031</v>
      </c>
      <c r="G15" s="164"/>
      <c r="H15" s="530"/>
      <c r="I15" s="530"/>
      <c r="J15" s="530"/>
      <c r="K15" s="530"/>
      <c r="L15" s="530"/>
      <c r="M15" s="530"/>
      <c r="N15" s="530"/>
      <c r="O15" s="530"/>
      <c r="P15" s="530"/>
      <c r="Q15" s="529"/>
      <c r="R15" s="529"/>
      <c r="S15" s="529"/>
      <c r="T15" s="529"/>
      <c r="U15" s="529"/>
      <c r="V15" s="529"/>
      <c r="W15" s="529"/>
      <c r="X15" s="529"/>
      <c r="Y15" s="529"/>
      <c r="Z15" s="529"/>
      <c r="AA15" s="529"/>
      <c r="AB15" s="529"/>
      <c r="AC15" s="529"/>
      <c r="AD15" s="529"/>
      <c r="AE15" s="529"/>
      <c r="AF15" s="529"/>
      <c r="AG15" s="529"/>
      <c r="AH15" s="529"/>
      <c r="AI15" s="521">
        <f>ROUND(Sources!$T$11,2)</f>
        <v>6.94</v>
      </c>
      <c r="AJ15" s="521">
        <f>ROUND(Sources!$T$11,2)</f>
        <v>6.94</v>
      </c>
      <c r="AK15" s="521">
        <f>ROUND(Sources!$T$11,2)</f>
        <v>6.94</v>
      </c>
      <c r="AL15" s="521">
        <f>ROUND(Sources!$T$11,2)</f>
        <v>6.94</v>
      </c>
      <c r="AM15" s="521">
        <f>ROUND(Sources!$T$11,2)</f>
        <v>6.94</v>
      </c>
      <c r="AN15" s="521">
        <f>ROUND(Sources!$T$11,2)</f>
        <v>6.94</v>
      </c>
      <c r="AO15" s="521">
        <f>ROUND(Sources!$T$11,2)</f>
        <v>6.94</v>
      </c>
      <c r="AP15" s="521">
        <f>ROUND(Sources!$T$11,2)</f>
        <v>6.94</v>
      </c>
      <c r="AQ15" s="521">
        <f>ROUND(Sources!$T$11,2)</f>
        <v>6.94</v>
      </c>
      <c r="AR15" s="521">
        <f>ROUND(Sources!$T$11,2)</f>
        <v>6.94</v>
      </c>
      <c r="AS15" s="521">
        <f>ROUND(Sources!$T$11,2)</f>
        <v>6.94</v>
      </c>
      <c r="AT15" s="521">
        <f>ROUND(Sources!$T$11,2)</f>
        <v>6.94</v>
      </c>
      <c r="AU15" s="163">
        <v>1</v>
      </c>
      <c r="AV15" s="168">
        <v>1</v>
      </c>
      <c r="AW15" s="162">
        <v>100</v>
      </c>
      <c r="AX15" s="162"/>
      <c r="BA15" s="527">
        <f t="shared" si="10"/>
        <v>0</v>
      </c>
      <c r="BB15" s="527">
        <f t="shared" si="11"/>
        <v>0</v>
      </c>
      <c r="BC15" s="527">
        <f t="shared" si="12"/>
        <v>0</v>
      </c>
      <c r="BD15" s="528">
        <f t="shared" si="18"/>
        <v>0</v>
      </c>
      <c r="BE15" s="528">
        <f t="shared" si="18"/>
        <v>0</v>
      </c>
      <c r="BF15" s="528">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Residential Demand Heating Rural Detached -  - Low </v>
      </c>
      <c r="D16" s="127" t="str">
        <f>Commodities!$C$40&amp;","&amp;Commodities!$C$44&amp;","&amp;Commodities!$C$48&amp;","&amp;Commodities!$C$84&amp;","&amp;Commodities!C62</f>
        <v>COMHRDX,COMHRDB,COMHRDBE,COMHSAV,COMHRDSL</v>
      </c>
      <c r="E16" s="7" t="str">
        <f>Commodities!C8</f>
        <v>CHRDB</v>
      </c>
      <c r="G16" s="166"/>
      <c r="H16" s="529" cm="1">
        <f t="array" ref="H16">ROUNDUP(INDEX(Dem!$F$41:$H$44,MATCH(Buildings_DR!$E16,Dem!$B$5:$B$8,0),MATCH(RIGHT(H$7,3),Dem!$F$1:$H$1,0))*_xlfn.IFS(RIGHT($D16,1)="H",$H$4,RIGHT($D16,1)="M",$H$3,RIGHT($D16,1)="L",$H$2),2)</f>
        <v>0</v>
      </c>
      <c r="I16" s="529" cm="1">
        <f t="array" ref="I16">ROUNDUP(INDEX(Dem!$F$41:$H$44,MATCH(Buildings_DR!$E16,Dem!$B$5:$B$8,0),MATCH(RIGHT(I$7,3),Dem!$F$1:$H$1,0))*_xlfn.IFS(RIGHT($D16,1)="H",$H$4,RIGHT($D16,1)="M",$H$3,RIGHT($D16,1)="L",$H$2),2)</f>
        <v>0</v>
      </c>
      <c r="J16" s="529" cm="1">
        <f t="array" ref="J16">ROUNDUP(INDEX(Dem!$F$41:$H$44,MATCH(Buildings_DR!$E16,Dem!$B$5:$B$8,0),MATCH(RIGHT(J$7,3),Dem!$F$1:$H$1,0))*_xlfn.IFS(RIGHT($D16,1)="H",$H$4,RIGHT($D16,1)="M",$H$3,RIGHT($D16,1)="L",$H$2),2)</f>
        <v>0</v>
      </c>
      <c r="K16" s="529" cm="1">
        <f t="array" ref="K16">ROUNDUP(INDEX(Dem!$F$45:$H$48,MATCH(Buildings_DR!$E16,Dem!$B$5:$B$8,0),MATCH(RIGHT(K$7,3),Dem!$F$1:$H$1,0))*_xlfn.IFS(RIGHT($D16,1)="H",$H$4,RIGHT($D16,1)="M",$H$3,RIGHT($D16,1)="L",$H$2),2)</f>
        <v>0</v>
      </c>
      <c r="L16" s="529" cm="1">
        <f t="array" ref="L16">ROUNDUP(INDEX(Dem!$F$45:$H$48,MATCH(Buildings_DR!$E16,Dem!$B$5:$B$8,0),MATCH(RIGHT(L$7,3),Dem!$F$1:$H$1,0))*_xlfn.IFS(RIGHT($D16,1)="H",$H$4,RIGHT($D16,1)="M",$H$3,RIGHT($D16,1)="L",$H$2),2)</f>
        <v>0</v>
      </c>
      <c r="M16" s="529" cm="1">
        <f t="array" ref="M16">ROUNDUP(INDEX(Dem!$F$45:$H$48,MATCH(Buildings_DR!$E16,Dem!$B$5:$B$8,0),MATCH(RIGHT(M$7,3),Dem!$F$1:$H$1,0))*_xlfn.IFS(RIGHT($D16,1)="H",$H$4,RIGHT($D16,1)="M",$H$3,RIGHT($D16,1)="L",$H$2),2)</f>
        <v>0</v>
      </c>
      <c r="N16" s="529" cm="1">
        <f t="array" ref="N16">ROUNDUP(INDEX(Dem!$F$49:$H$52,MATCH(Buildings_DR!$E16,Dem!$B$5:$B$8,0),MATCH(RIGHT(N$7,3),Dem!$F$1:$H$1,0))*_xlfn.IFS(RIGHT($D16,1)="H",$H$4,RIGHT($D16,1)="M",$H$3,RIGHT($D16,1)="L",$H$2),2)</f>
        <v>0</v>
      </c>
      <c r="O16" s="529" cm="1">
        <f t="array" ref="O16">ROUNDUP(INDEX(Dem!$F$49:$H$52,MATCH(Buildings_DR!$E16,Dem!$B$5:$B$8,0),MATCH(RIGHT(O$7,3),Dem!$F$1:$H$1,0))*_xlfn.IFS(RIGHT($D16,1)="H",$H$4,RIGHT($D16,1)="M",$H$3,RIGHT($D16,1)="L",$H$2),2)</f>
        <v>0</v>
      </c>
      <c r="P16" s="529" cm="1">
        <f t="array" ref="P16">ROUNDUP(INDEX(Dem!$F$49:$H$52,MATCH(Buildings_DR!$E16,Dem!$B$5:$B$8,0),MATCH(RIGHT(P$7,3),Dem!$F$1:$H$1,0))*_xlfn.IFS(RIGHT($D16,1)="H",$H$4,RIGHT($D16,1)="M",$H$3,RIGHT($D16,1)="L",$H$2),2)</f>
        <v>0</v>
      </c>
      <c r="Q16" s="529">
        <f t="shared" ref="Q16:S18" si="19">H16*0.6</f>
        <v>0</v>
      </c>
      <c r="R16" s="529">
        <f t="shared" si="19"/>
        <v>0</v>
      </c>
      <c r="S16" s="529">
        <f t="shared" si="19"/>
        <v>0</v>
      </c>
      <c r="T16" s="529">
        <f t="shared" ref="T16:AE16" si="20">H16*0.99</f>
        <v>0</v>
      </c>
      <c r="U16" s="529">
        <f t="shared" si="20"/>
        <v>0</v>
      </c>
      <c r="V16" s="529">
        <f t="shared" si="20"/>
        <v>0</v>
      </c>
      <c r="W16" s="529">
        <f t="shared" si="20"/>
        <v>0</v>
      </c>
      <c r="X16" s="529">
        <f t="shared" si="20"/>
        <v>0</v>
      </c>
      <c r="Y16" s="529">
        <f t="shared" si="20"/>
        <v>0</v>
      </c>
      <c r="Z16" s="529">
        <f t="shared" si="20"/>
        <v>0</v>
      </c>
      <c r="AA16" s="529">
        <f t="shared" si="20"/>
        <v>0</v>
      </c>
      <c r="AB16" s="529">
        <f t="shared" si="20"/>
        <v>0</v>
      </c>
      <c r="AC16" s="529">
        <f t="shared" si="20"/>
        <v>0</v>
      </c>
      <c r="AD16" s="529">
        <f t="shared" si="20"/>
        <v>0</v>
      </c>
      <c r="AE16" s="529">
        <f t="shared" si="20"/>
        <v>0</v>
      </c>
      <c r="AF16" s="529">
        <v>5</v>
      </c>
      <c r="AG16" s="529">
        <v>5</v>
      </c>
      <c r="AH16" s="529">
        <v>5</v>
      </c>
      <c r="AI16" s="519">
        <f t="shared" ref="AI16:AT16" si="21">AI17/2</f>
        <v>4.5049999999999999</v>
      </c>
      <c r="AJ16" s="519" t="e">
        <f t="shared" si="21"/>
        <v>#DIV/0!</v>
      </c>
      <c r="AK16" s="519" t="e">
        <f t="shared" si="21"/>
        <v>#DIV/0!</v>
      </c>
      <c r="AL16" s="519">
        <f t="shared" si="21"/>
        <v>4.35372</v>
      </c>
      <c r="AM16" s="519" t="e">
        <f t="shared" si="21"/>
        <v>#DIV/0!</v>
      </c>
      <c r="AN16" s="519" t="e">
        <f t="shared" si="21"/>
        <v>#DIV/0!</v>
      </c>
      <c r="AO16" s="519">
        <f t="shared" si="21"/>
        <v>4.21</v>
      </c>
      <c r="AP16" s="519" t="e">
        <f t="shared" si="21"/>
        <v>#DIV/0!</v>
      </c>
      <c r="AQ16" s="519" t="e">
        <f t="shared" si="21"/>
        <v>#DIV/0!</v>
      </c>
      <c r="AR16" s="519">
        <f t="shared" si="21"/>
        <v>4.5249999999999995</v>
      </c>
      <c r="AS16" s="519" t="e">
        <f t="shared" si="21"/>
        <v>#DIV/0!</v>
      </c>
      <c r="AT16" s="519" t="e">
        <f t="shared" si="21"/>
        <v>#DIV/0!</v>
      </c>
      <c r="AU16" s="167">
        <v>1</v>
      </c>
      <c r="AV16" s="165">
        <v>1</v>
      </c>
      <c r="AW16" s="160"/>
      <c r="AX16" s="162"/>
      <c r="AY16" s="162"/>
      <c r="AZ16" s="199"/>
      <c r="BA16" s="527">
        <f t="shared" si="10"/>
        <v>0</v>
      </c>
      <c r="BB16" s="527">
        <f t="shared" si="11"/>
        <v>0</v>
      </c>
      <c r="BC16" s="527">
        <f t="shared" si="12"/>
        <v>0</v>
      </c>
      <c r="BD16" s="528">
        <f t="shared" ref="BD16:BD25" si="22">BA16/AI16</f>
        <v>0</v>
      </c>
      <c r="BE16" s="528" t="e">
        <f t="shared" ref="BE16:BE25" si="23">BB16/AJ16</f>
        <v>#DIV/0!</v>
      </c>
      <c r="BF16" s="528"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Residential Demand Heating Rural Detached -  - Medium </v>
      </c>
      <c r="D17" s="127" t="str">
        <f>Commodities!$C$40&amp;","&amp;Commodities!$C$44&amp;","&amp;Commodities!$C$48&amp;","&amp;Commodities!$C$84&amp;","&amp;Commodities!C63</f>
        <v>COMHRDX,COMHRDB,COMHRDBE,COMHSAV,COMHRDSM</v>
      </c>
      <c r="E17" s="191" t="str">
        <f>E16</f>
        <v>CHRDB</v>
      </c>
      <c r="G17" s="191"/>
      <c r="H17" s="529" cm="1">
        <f t="array" ref="H17">ROUNDUP(INDEX(Dem!$F$41:$H$44,MATCH(Buildings_DR!$E17,Dem!$B$5:$B$8,0),MATCH(RIGHT(H$7,3),Dem!$F$1:$H$1,0))*_xlfn.IFS(RIGHT($D17,1)="H",$H$4,RIGHT($D17,1)="M",$H$3,RIGHT($D17,1)="L",$H$2),2)</f>
        <v>1467.6299999999999</v>
      </c>
      <c r="I17" s="529" cm="1">
        <f t="array" ref="I17">ROUNDUP(INDEX(Dem!$F$41:$H$44,MATCH(Buildings_DR!$E17,Dem!$B$5:$B$8,0),MATCH(RIGHT(I$7,3),Dem!$F$1:$H$1,0))*_xlfn.IFS(RIGHT($D17,1)="H",$H$4,RIGHT($D17,1)="M",$H$3,RIGHT($D17,1)="L",$H$2),2)</f>
        <v>0</v>
      </c>
      <c r="J17" s="529" cm="1">
        <f t="array" ref="J17">ROUNDUP(INDEX(Dem!$F$41:$H$44,MATCH(Buildings_DR!$E17,Dem!$B$5:$B$8,0),MATCH(RIGHT(J$7,3),Dem!$F$1:$H$1,0))*_xlfn.IFS(RIGHT($D17,1)="H",$H$4,RIGHT($D17,1)="M",$H$3,RIGHT($D17,1)="L",$H$2),2)</f>
        <v>0</v>
      </c>
      <c r="K17" s="529" cm="1">
        <f t="array" ref="K17">ROUNDUP(INDEX(Dem!$F$45:$H$48,MATCH(Buildings_DR!$E17,Dem!$B$5:$B$8,0),MATCH(RIGHT(K$7,3),Dem!$F$1:$H$1,0))*_xlfn.IFS(RIGHT($D17,1)="H",$H$4,RIGHT($D17,1)="M",$H$3,RIGHT($D17,1)="L",$H$2),2)</f>
        <v>1513.83</v>
      </c>
      <c r="L17" s="529" cm="1">
        <f t="array" ref="L17">ROUNDUP(INDEX(Dem!$F$45:$H$48,MATCH(Buildings_DR!$E17,Dem!$B$5:$B$8,0),MATCH(RIGHT(L$7,3),Dem!$F$1:$H$1,0))*_xlfn.IFS(RIGHT($D17,1)="H",$H$4,RIGHT($D17,1)="M",$H$3,RIGHT($D17,1)="L",$H$2),2)</f>
        <v>0</v>
      </c>
      <c r="M17" s="529" cm="1">
        <f t="array" ref="M17">ROUNDUP(INDEX(Dem!$F$45:$H$48,MATCH(Buildings_DR!$E17,Dem!$B$5:$B$8,0),MATCH(RIGHT(M$7,3),Dem!$F$1:$H$1,0))*_xlfn.IFS(RIGHT($D17,1)="H",$H$4,RIGHT($D17,1)="M",$H$3,RIGHT($D17,1)="L",$H$2),2)</f>
        <v>0</v>
      </c>
      <c r="N17" s="529" cm="1">
        <f t="array" ref="N17">ROUNDUP(INDEX(Dem!$F$49:$H$52,MATCH(Buildings_DR!$E17,Dem!$B$5:$B$8,0),MATCH(RIGHT(N$7,3),Dem!$F$1:$H$1,0))*_xlfn.IFS(RIGHT($D17,1)="H",$H$4,RIGHT($D17,1)="M",$H$3,RIGHT($D17,1)="L",$H$2),2)</f>
        <v>1536.52</v>
      </c>
      <c r="O17" s="529" cm="1">
        <f t="array" ref="O17">ROUNDUP(INDEX(Dem!$F$49:$H$52,MATCH(Buildings_DR!$E17,Dem!$B$5:$B$8,0),MATCH(RIGHT(O$7,3),Dem!$F$1:$H$1,0))*_xlfn.IFS(RIGHT($D17,1)="H",$H$4,RIGHT($D17,1)="M",$H$3,RIGHT($D17,1)="L",$H$2),2)</f>
        <v>0</v>
      </c>
      <c r="P17" s="529" cm="1">
        <f t="array" ref="P17">ROUNDUP(INDEX(Dem!$F$49:$H$52,MATCH(Buildings_DR!$E17,Dem!$B$5:$B$8,0),MATCH(RIGHT(P$7,3),Dem!$F$1:$H$1,0))*_xlfn.IFS(RIGHT($D17,1)="H",$H$4,RIGHT($D17,1)="M",$H$3,RIGHT($D17,1)="L",$H$2),2)</f>
        <v>0</v>
      </c>
      <c r="Q17" s="529">
        <f t="shared" si="19"/>
        <v>880.57799999999986</v>
      </c>
      <c r="R17" s="529">
        <f t="shared" si="19"/>
        <v>0</v>
      </c>
      <c r="S17" s="529">
        <f t="shared" si="19"/>
        <v>0</v>
      </c>
      <c r="T17" s="529">
        <f t="shared" ref="T17:AB17" si="25">H17*$K$2</f>
        <v>1452.9536999999998</v>
      </c>
      <c r="U17" s="529">
        <f t="shared" si="25"/>
        <v>0</v>
      </c>
      <c r="V17" s="529">
        <f t="shared" si="25"/>
        <v>0</v>
      </c>
      <c r="W17" s="529">
        <f t="shared" si="25"/>
        <v>1498.6916999999999</v>
      </c>
      <c r="X17" s="529">
        <f t="shared" si="25"/>
        <v>0</v>
      </c>
      <c r="Y17" s="529">
        <f t="shared" si="25"/>
        <v>0</v>
      </c>
      <c r="Z17" s="529">
        <f t="shared" si="25"/>
        <v>1521.1548</v>
      </c>
      <c r="AA17" s="529">
        <f t="shared" si="25"/>
        <v>0</v>
      </c>
      <c r="AB17" s="529">
        <f t="shared" si="25"/>
        <v>0</v>
      </c>
      <c r="AC17" s="529">
        <f>Q17*$K$3</f>
        <v>871.77221999999983</v>
      </c>
      <c r="AD17" s="529">
        <f>R17*$K$3</f>
        <v>0</v>
      </c>
      <c r="AE17" s="529">
        <f>S17*$K$3</f>
        <v>0</v>
      </c>
      <c r="AF17" s="529">
        <v>5</v>
      </c>
      <c r="AG17" s="529">
        <v>5</v>
      </c>
      <c r="AH17" s="529">
        <v>5</v>
      </c>
      <c r="AI17" s="520">
        <f>ROUNDUP(SUM(H16:H22)/SUM(Boilers_DR!AB17:AB27),2)</f>
        <v>9.01</v>
      </c>
      <c r="AJ17" s="520" t="e">
        <f>ROUNDUP(SUM(I16:I22)/SUM(Boilers_DR!AC17:AC27),2)</f>
        <v>#DIV/0!</v>
      </c>
      <c r="AK17" s="520" t="e">
        <f>ROUNDUP(SUM(J16:J22)/SUM(Boilers_DR!AD17:AD27),2)</f>
        <v>#DIV/0!</v>
      </c>
      <c r="AL17" s="520">
        <f>ROUNDUP(SUM(K16:K22)/SUM(Boilers_DR!AB60:AB69),2)*AL3</f>
        <v>8.7074400000000001</v>
      </c>
      <c r="AM17" s="520" t="e">
        <f>ROUNDUP(SUM(L16:L22)/SUM(Boilers_DR!AC60:AC69),2)*AM3</f>
        <v>#DIV/0!</v>
      </c>
      <c r="AN17" s="520" t="e">
        <f>ROUNDUP(SUM(M16:M22)/SUM(Boilers_DR!AD60:AD69),2)*AN3</f>
        <v>#DIV/0!</v>
      </c>
      <c r="AO17" s="520">
        <f>ROUNDUP(SUM(N16:N22)/SUM(Boilers_DR!AB100:AB109),2)</f>
        <v>8.42</v>
      </c>
      <c r="AP17" s="520" t="e">
        <f>ROUNDUP(SUM(O16:O22)/SUM(Boilers_DR!AC100:AC109),2)</f>
        <v>#DIV/0!</v>
      </c>
      <c r="AQ17" s="520" t="e">
        <f>ROUNDUP(SUM(P16:P22)/SUM(Boilers_DR!AD100:AD109),2)</f>
        <v>#DIV/0!</v>
      </c>
      <c r="AR17" s="520">
        <f>ROUNDUP(SUM(N16:N22)/SUM(Boilers_DR!AB140:AB149),2)</f>
        <v>9.0499999999999989</v>
      </c>
      <c r="AS17" s="520" t="e">
        <f>ROUNDUP(SUM(O16:O22)/SUM(Boilers_DR!AC140:AC149),2)</f>
        <v>#DIV/0!</v>
      </c>
      <c r="AT17" s="520" t="e">
        <f>ROUNDUP(SUM(P16:P22)/SUM(Boilers_DR!AD140:AD149),2)</f>
        <v>#DIV/0!</v>
      </c>
      <c r="AU17" s="163">
        <v>1</v>
      </c>
      <c r="AV17" s="162">
        <v>1</v>
      </c>
      <c r="AW17" s="160"/>
      <c r="AX17" s="162"/>
      <c r="AY17" s="162"/>
      <c r="AZ17" s="199"/>
      <c r="BA17" s="527">
        <f t="shared" si="10"/>
        <v>1467.6299999999999</v>
      </c>
      <c r="BB17" s="527">
        <f t="shared" si="11"/>
        <v>0</v>
      </c>
      <c r="BC17" s="527">
        <f t="shared" si="12"/>
        <v>0</v>
      </c>
      <c r="BD17" s="528">
        <f t="shared" si="22"/>
        <v>162.88901220865705</v>
      </c>
      <c r="BE17" s="528" t="e">
        <f t="shared" si="23"/>
        <v>#DIV/0!</v>
      </c>
      <c r="BF17" s="528"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Residential Demand Heating Rural Detached -  - High </v>
      </c>
      <c r="D18" s="127" t="str">
        <f>Commodities!$C$40&amp;","&amp;Commodities!$C$44&amp;","&amp;Commodities!$C$48&amp;","&amp;Commodities!$C$84&amp;","&amp;Commodities!C64</f>
        <v>COMHRDX,COMHRDB,COMHRDBE,COMHSAV,COMHRDSH</v>
      </c>
      <c r="E18" s="191" t="str">
        <f>E17</f>
        <v>CHRDB</v>
      </c>
      <c r="G18" s="191"/>
      <c r="H18" s="529" cm="1">
        <f t="array" ref="H18">ROUNDUP(INDEX(Dem!$F$41:$H$44,MATCH(Buildings_DR!$E18,Dem!$B$5:$B$8,0),MATCH(RIGHT(H$7,3),Dem!$F$1:$H$1,0))*_xlfn.IFS(RIGHT($D18,1)="H",$H$4,RIGHT($D18,1)="M",$H$3,RIGHT($D18,1)="L",$H$2),2)</f>
        <v>0</v>
      </c>
      <c r="I18" s="529" cm="1">
        <f t="array" ref="I18">ROUNDUP(INDEX(Dem!$F$41:$H$44,MATCH(Buildings_DR!$E18,Dem!$B$5:$B$8,0),MATCH(RIGHT(I$7,3),Dem!$F$1:$H$1,0))*_xlfn.IFS(RIGHT($D18,1)="H",$H$4,RIGHT($D18,1)="M",$H$3,RIGHT($D18,1)="L",$H$2),2)</f>
        <v>0</v>
      </c>
      <c r="J18" s="529" cm="1">
        <f t="array" ref="J18">ROUNDUP(INDEX(Dem!$F$41:$H$44,MATCH(Buildings_DR!$E18,Dem!$B$5:$B$8,0),MATCH(RIGHT(J$7,3),Dem!$F$1:$H$1,0))*_xlfn.IFS(RIGHT($D18,1)="H",$H$4,RIGHT($D18,1)="M",$H$3,RIGHT($D18,1)="L",$H$2),2)</f>
        <v>0</v>
      </c>
      <c r="K18" s="529" cm="1">
        <f t="array" ref="K18">ROUNDUP(INDEX(Dem!$F$45:$H$48,MATCH(Buildings_DR!$E18,Dem!$B$5:$B$8,0),MATCH(RIGHT(K$7,3),Dem!$F$1:$H$1,0))*_xlfn.IFS(RIGHT($D18,1)="H",$H$4,RIGHT($D18,1)="M",$H$3,RIGHT($D18,1)="L",$H$2),2)</f>
        <v>0</v>
      </c>
      <c r="L18" s="529" cm="1">
        <f t="array" ref="L18">ROUNDUP(INDEX(Dem!$F$45:$H$48,MATCH(Buildings_DR!$E18,Dem!$B$5:$B$8,0),MATCH(RIGHT(L$7,3),Dem!$F$1:$H$1,0))*_xlfn.IFS(RIGHT($D18,1)="H",$H$4,RIGHT($D18,1)="M",$H$3,RIGHT($D18,1)="L",$H$2),2)</f>
        <v>0</v>
      </c>
      <c r="M18" s="529" cm="1">
        <f t="array" ref="M18">ROUNDUP(INDEX(Dem!$F$45:$H$48,MATCH(Buildings_DR!$E18,Dem!$B$5:$B$8,0),MATCH(RIGHT(M$7,3),Dem!$F$1:$H$1,0))*_xlfn.IFS(RIGHT($D18,1)="H",$H$4,RIGHT($D18,1)="M",$H$3,RIGHT($D18,1)="L",$H$2),2)</f>
        <v>0</v>
      </c>
      <c r="N18" s="529" cm="1">
        <f t="array" ref="N18">ROUNDUP(INDEX(Dem!$F$49:$H$52,MATCH(Buildings_DR!$E18,Dem!$B$5:$B$8,0),MATCH(RIGHT(N$7,3),Dem!$F$1:$H$1,0))*_xlfn.IFS(RIGHT($D18,1)="H",$H$4,RIGHT($D18,1)="M",$H$3,RIGHT($D18,1)="L",$H$2),2)</f>
        <v>0</v>
      </c>
      <c r="O18" s="529" cm="1">
        <f t="array" ref="O18">ROUNDUP(INDEX(Dem!$F$49:$H$52,MATCH(Buildings_DR!$E18,Dem!$B$5:$B$8,0),MATCH(RIGHT(O$7,3),Dem!$F$1:$H$1,0))*_xlfn.IFS(RIGHT($D18,1)="H",$H$4,RIGHT($D18,1)="M",$H$3,RIGHT($D18,1)="L",$H$2),2)</f>
        <v>0</v>
      </c>
      <c r="P18" s="529" cm="1">
        <f t="array" ref="P18">ROUNDUP(INDEX(Dem!$F$49:$H$52,MATCH(Buildings_DR!$E18,Dem!$B$5:$B$8,0),MATCH(RIGHT(P$7,3),Dem!$F$1:$H$1,0))*_xlfn.IFS(RIGHT($D18,1)="H",$H$4,RIGHT($D18,1)="M",$H$3,RIGHT($D18,1)="L",$H$2),2)</f>
        <v>0</v>
      </c>
      <c r="Q18" s="529">
        <f t="shared" si="19"/>
        <v>0</v>
      </c>
      <c r="R18" s="529">
        <f t="shared" si="19"/>
        <v>0</v>
      </c>
      <c r="S18" s="529">
        <f t="shared" si="19"/>
        <v>0</v>
      </c>
      <c r="T18" s="529">
        <f t="shared" ref="T18:AE18" si="26">H18*0.99</f>
        <v>0</v>
      </c>
      <c r="U18" s="529">
        <f t="shared" si="26"/>
        <v>0</v>
      </c>
      <c r="V18" s="529">
        <f t="shared" si="26"/>
        <v>0</v>
      </c>
      <c r="W18" s="529">
        <f t="shared" si="26"/>
        <v>0</v>
      </c>
      <c r="X18" s="529">
        <f t="shared" si="26"/>
        <v>0</v>
      </c>
      <c r="Y18" s="529">
        <f t="shared" si="26"/>
        <v>0</v>
      </c>
      <c r="Z18" s="529">
        <f t="shared" si="26"/>
        <v>0</v>
      </c>
      <c r="AA18" s="529">
        <f t="shared" si="26"/>
        <v>0</v>
      </c>
      <c r="AB18" s="529">
        <f t="shared" si="26"/>
        <v>0</v>
      </c>
      <c r="AC18" s="529">
        <f t="shared" si="26"/>
        <v>0</v>
      </c>
      <c r="AD18" s="529">
        <f t="shared" si="26"/>
        <v>0</v>
      </c>
      <c r="AE18" s="529">
        <f t="shared" si="26"/>
        <v>0</v>
      </c>
      <c r="AF18" s="529">
        <v>5</v>
      </c>
      <c r="AG18" s="529">
        <v>5</v>
      </c>
      <c r="AH18" s="529">
        <v>5</v>
      </c>
      <c r="AI18" s="520">
        <f t="shared" ref="AI18:AQ18" si="27">AI17/2+AI19/2</f>
        <v>6.51</v>
      </c>
      <c r="AJ18" s="520" t="e">
        <f t="shared" si="27"/>
        <v>#DIV/0!</v>
      </c>
      <c r="AK18" s="520" t="e">
        <f t="shared" si="27"/>
        <v>#DIV/0!</v>
      </c>
      <c r="AL18" s="520">
        <f t="shared" si="27"/>
        <v>6.3587199999999999</v>
      </c>
      <c r="AM18" s="520" t="e">
        <f t="shared" si="27"/>
        <v>#DIV/0!</v>
      </c>
      <c r="AN18" s="520" t="e">
        <f t="shared" si="27"/>
        <v>#DIV/0!</v>
      </c>
      <c r="AO18" s="520">
        <f t="shared" si="27"/>
        <v>6.2149999999999999</v>
      </c>
      <c r="AP18" s="520" t="e">
        <f t="shared" si="27"/>
        <v>#DIV/0!</v>
      </c>
      <c r="AQ18" s="520" t="e">
        <f t="shared" si="27"/>
        <v>#DIV/0!</v>
      </c>
      <c r="AR18" s="520">
        <f t="shared" ref="AR18:AT18" si="28">AR17/2+AR19/2</f>
        <v>6.5299999999999994</v>
      </c>
      <c r="AS18" s="520" t="e">
        <f t="shared" si="28"/>
        <v>#DIV/0!</v>
      </c>
      <c r="AT18" s="520" t="e">
        <f t="shared" si="28"/>
        <v>#DIV/0!</v>
      </c>
      <c r="AU18" s="163">
        <v>1</v>
      </c>
      <c r="AV18" s="162">
        <v>1</v>
      </c>
      <c r="AW18" s="162"/>
      <c r="AX18" s="162"/>
      <c r="AY18" s="162"/>
      <c r="AZ18" s="199"/>
      <c r="BA18" s="527">
        <f t="shared" si="10"/>
        <v>0</v>
      </c>
      <c r="BB18" s="527">
        <f t="shared" si="11"/>
        <v>0</v>
      </c>
      <c r="BC18" s="527">
        <f t="shared" si="12"/>
        <v>0</v>
      </c>
      <c r="BD18" s="528">
        <f t="shared" si="22"/>
        <v>0</v>
      </c>
      <c r="BE18" s="528" t="e">
        <f t="shared" si="23"/>
        <v>#DIV/0!</v>
      </c>
      <c r="BF18" s="528"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Residential Demand Heating Rural Detached -  - New </v>
      </c>
      <c r="D19" s="127" t="str">
        <f>Commodities!$C$40&amp;","&amp;Commodities!$C$44&amp;","&amp;Commodities!$C$52</f>
        <v>COMHRDX,COMHRDB,COMHRDBN</v>
      </c>
      <c r="E19" s="191" t="str">
        <f>E18</f>
        <v>CHRDB</v>
      </c>
      <c r="F19" s="156">
        <v>2011</v>
      </c>
      <c r="G19" s="191">
        <v>2011</v>
      </c>
      <c r="H19" s="529"/>
      <c r="I19" s="529"/>
      <c r="J19" s="529"/>
      <c r="K19" s="529"/>
      <c r="L19" s="529"/>
      <c r="M19" s="529"/>
      <c r="N19" s="529"/>
      <c r="O19" s="529"/>
      <c r="P19" s="529"/>
      <c r="Q19" s="529"/>
      <c r="R19" s="529"/>
      <c r="S19" s="529"/>
      <c r="T19" s="529"/>
      <c r="U19" s="529"/>
      <c r="V19" s="529"/>
      <c r="W19" s="529"/>
      <c r="X19" s="529"/>
      <c r="Y19" s="529"/>
      <c r="Z19" s="529"/>
      <c r="AA19" s="529"/>
      <c r="AB19" s="529"/>
      <c r="AC19" s="529"/>
      <c r="AD19" s="529"/>
      <c r="AE19" s="529"/>
      <c r="AF19" s="529"/>
      <c r="AG19" s="529"/>
      <c r="AH19" s="529"/>
      <c r="AI19" s="521">
        <f>ROUND(Sources!$T$8,2)</f>
        <v>4.01</v>
      </c>
      <c r="AJ19" s="521">
        <f>ROUND(Sources!$T$8,2)</f>
        <v>4.01</v>
      </c>
      <c r="AK19" s="521">
        <f>ROUND(Sources!$T$8,2)</f>
        <v>4.01</v>
      </c>
      <c r="AL19" s="521">
        <f>ROUND(Sources!$T$8,2)</f>
        <v>4.01</v>
      </c>
      <c r="AM19" s="521">
        <f>ROUND(Sources!$T$8,2)</f>
        <v>4.01</v>
      </c>
      <c r="AN19" s="521">
        <f>ROUND(Sources!$T$8,2)</f>
        <v>4.01</v>
      </c>
      <c r="AO19" s="521">
        <f>ROUND(Sources!$T$8,2)</f>
        <v>4.01</v>
      </c>
      <c r="AP19" s="521">
        <f>ROUND(Sources!$T$8,2)</f>
        <v>4.01</v>
      </c>
      <c r="AQ19" s="521">
        <f>ROUND(Sources!$T$8,2)</f>
        <v>4.01</v>
      </c>
      <c r="AR19" s="521">
        <f>ROUND(Sources!$T$8,2)</f>
        <v>4.01</v>
      </c>
      <c r="AS19" s="521">
        <f>ROUND(Sources!$T$8,2)</f>
        <v>4.01</v>
      </c>
      <c r="AT19" s="521">
        <f>ROUND(Sources!$T$8,2)</f>
        <v>4.01</v>
      </c>
      <c r="AU19" s="163">
        <v>1</v>
      </c>
      <c r="AV19" s="168">
        <v>1</v>
      </c>
      <c r="AW19" s="162">
        <v>100</v>
      </c>
      <c r="AX19" s="162"/>
      <c r="AY19" s="162"/>
      <c r="BA19" s="527">
        <f t="shared" si="10"/>
        <v>0</v>
      </c>
      <c r="BB19" s="527">
        <f t="shared" si="11"/>
        <v>0</v>
      </c>
      <c r="BC19" s="527">
        <f t="shared" si="12"/>
        <v>0</v>
      </c>
      <c r="BD19" s="528">
        <f t="shared" si="22"/>
        <v>0</v>
      </c>
      <c r="BE19" s="528">
        <f t="shared" si="23"/>
        <v>0</v>
      </c>
      <c r="BF19" s="528">
        <f t="shared" si="24"/>
        <v>0</v>
      </c>
      <c r="BH19" s="201"/>
      <c r="BI19" s="201"/>
      <c r="BJ19" s="201"/>
      <c r="BK19" s="201"/>
      <c r="BL19" s="644"/>
      <c r="BM19" s="644"/>
      <c r="BN19" s="644"/>
      <c r="BO19" s="201"/>
      <c r="BP19" s="201"/>
      <c r="BQ19" s="201"/>
      <c r="BR19" s="201"/>
    </row>
    <row r="20" spans="1:70">
      <c r="B20" s="162"/>
      <c r="C20" s="162"/>
      <c r="D20" s="553"/>
      <c r="E20" s="191"/>
      <c r="F20" s="156">
        <v>2016</v>
      </c>
      <c r="H20" s="529"/>
      <c r="I20" s="529"/>
      <c r="J20" s="529"/>
      <c r="K20" s="529"/>
      <c r="L20" s="529"/>
      <c r="M20" s="529"/>
      <c r="N20" s="529"/>
      <c r="O20" s="529"/>
      <c r="P20" s="529"/>
      <c r="Q20" s="529"/>
      <c r="R20" s="529"/>
      <c r="S20" s="529"/>
      <c r="T20" s="529"/>
      <c r="U20" s="529"/>
      <c r="V20" s="529"/>
      <c r="W20" s="529"/>
      <c r="X20" s="529"/>
      <c r="Y20" s="529"/>
      <c r="Z20" s="529"/>
      <c r="AA20" s="529"/>
      <c r="AB20" s="529"/>
      <c r="AC20" s="529"/>
      <c r="AD20" s="529"/>
      <c r="AE20" s="529"/>
      <c r="AF20" s="529"/>
      <c r="AG20" s="529"/>
      <c r="AH20" s="529"/>
      <c r="AI20" s="521">
        <f>ROUND(Sources!$T$9,2)</f>
        <v>4.75</v>
      </c>
      <c r="AJ20" s="521">
        <f>ROUND(Sources!$T$9,2)</f>
        <v>4.75</v>
      </c>
      <c r="AK20" s="521">
        <f>ROUND(Sources!$T$9,2)</f>
        <v>4.75</v>
      </c>
      <c r="AL20" s="521">
        <f>ROUND(Sources!$T$9,2)</f>
        <v>4.75</v>
      </c>
      <c r="AM20" s="521">
        <f>ROUND(Sources!$T$9,2)</f>
        <v>4.75</v>
      </c>
      <c r="AN20" s="521">
        <f>ROUND(Sources!$T$9,2)</f>
        <v>4.75</v>
      </c>
      <c r="AO20" s="521">
        <f>ROUND(Sources!$T$9,2)</f>
        <v>4.75</v>
      </c>
      <c r="AP20" s="521">
        <f>ROUND(Sources!$T$9,2)</f>
        <v>4.75</v>
      </c>
      <c r="AQ20" s="521">
        <f>ROUND(Sources!$T$9,2)</f>
        <v>4.75</v>
      </c>
      <c r="AR20" s="521">
        <f>ROUND(Sources!$T$9,2)</f>
        <v>4.75</v>
      </c>
      <c r="AS20" s="521">
        <f>ROUND(Sources!$T$9,2)</f>
        <v>4.75</v>
      </c>
      <c r="AT20" s="521">
        <f>ROUND(Sources!$T$9,2)</f>
        <v>4.75</v>
      </c>
      <c r="AU20" s="163">
        <v>1</v>
      </c>
      <c r="AV20" s="168">
        <v>1</v>
      </c>
      <c r="AW20" s="162">
        <v>100</v>
      </c>
      <c r="AX20" s="162"/>
      <c r="AY20" s="162"/>
      <c r="BA20" s="527">
        <f t="shared" si="10"/>
        <v>0</v>
      </c>
      <c r="BB20" s="527">
        <f t="shared" si="11"/>
        <v>0</v>
      </c>
      <c r="BC20" s="527">
        <f t="shared" si="12"/>
        <v>0</v>
      </c>
      <c r="BD20" s="528">
        <f t="shared" si="22"/>
        <v>0</v>
      </c>
      <c r="BE20" s="528">
        <f t="shared" si="23"/>
        <v>0</v>
      </c>
      <c r="BF20" s="528">
        <f t="shared" si="24"/>
        <v>0</v>
      </c>
      <c r="BH20" s="201"/>
      <c r="BI20" s="201"/>
      <c r="BJ20" s="201"/>
      <c r="BK20" s="201"/>
      <c r="BL20" s="201"/>
      <c r="BM20" s="201"/>
      <c r="BN20" s="201"/>
      <c r="BO20" s="201"/>
      <c r="BP20" s="201"/>
      <c r="BQ20" s="201"/>
      <c r="BR20" s="201"/>
    </row>
    <row r="21" spans="1:70">
      <c r="B21" s="162"/>
      <c r="C21" s="162"/>
      <c r="D21" s="553"/>
      <c r="E21" s="191"/>
      <c r="F21" s="156">
        <v>2021</v>
      </c>
      <c r="H21" s="529"/>
      <c r="I21" s="529"/>
      <c r="J21" s="529"/>
      <c r="K21" s="529"/>
      <c r="L21" s="529"/>
      <c r="M21" s="529"/>
      <c r="N21" s="529"/>
      <c r="O21" s="529"/>
      <c r="P21" s="529"/>
      <c r="Q21" s="529"/>
      <c r="R21" s="529"/>
      <c r="S21" s="529"/>
      <c r="T21" s="529"/>
      <c r="U21" s="529"/>
      <c r="V21" s="529"/>
      <c r="W21" s="529"/>
      <c r="X21" s="529"/>
      <c r="Y21" s="529"/>
      <c r="Z21" s="529"/>
      <c r="AA21" s="529"/>
      <c r="AB21" s="529"/>
      <c r="AC21" s="529"/>
      <c r="AD21" s="529"/>
      <c r="AE21" s="529"/>
      <c r="AF21" s="529"/>
      <c r="AG21" s="529"/>
      <c r="AH21" s="529"/>
      <c r="AI21" s="521">
        <f>ROUND(Sources!$T$10,2)</f>
        <v>6.08</v>
      </c>
      <c r="AJ21" s="521">
        <f>ROUND(Sources!$T$10,2)</f>
        <v>6.08</v>
      </c>
      <c r="AK21" s="521">
        <f>ROUND(Sources!$T$10,2)</f>
        <v>6.08</v>
      </c>
      <c r="AL21" s="521">
        <f>ROUND(Sources!$T$10,2)</f>
        <v>6.08</v>
      </c>
      <c r="AM21" s="521">
        <f>ROUND(Sources!$T$10,2)</f>
        <v>6.08</v>
      </c>
      <c r="AN21" s="521">
        <f>ROUND(Sources!$T$10,2)</f>
        <v>6.08</v>
      </c>
      <c r="AO21" s="521">
        <f>ROUND(Sources!$T$10,2)</f>
        <v>6.08</v>
      </c>
      <c r="AP21" s="521">
        <f>ROUND(Sources!$T$10,2)</f>
        <v>6.08</v>
      </c>
      <c r="AQ21" s="521">
        <f>ROUND(Sources!$T$10,2)</f>
        <v>6.08</v>
      </c>
      <c r="AR21" s="521">
        <f>ROUND(Sources!$T$10,2)</f>
        <v>6.08</v>
      </c>
      <c r="AS21" s="521">
        <f>ROUND(Sources!$T$10,2)</f>
        <v>6.08</v>
      </c>
      <c r="AT21" s="521">
        <f>ROUND(Sources!$T$10,2)</f>
        <v>6.08</v>
      </c>
      <c r="AU21" s="163">
        <v>1</v>
      </c>
      <c r="AV21" s="168">
        <v>1</v>
      </c>
      <c r="AW21" s="162">
        <v>100</v>
      </c>
      <c r="AX21" s="162"/>
      <c r="AY21" s="162"/>
      <c r="BA21" s="527">
        <f t="shared" si="10"/>
        <v>0</v>
      </c>
      <c r="BB21" s="527">
        <f t="shared" si="11"/>
        <v>0</v>
      </c>
      <c r="BC21" s="527">
        <f t="shared" si="12"/>
        <v>0</v>
      </c>
      <c r="BD21" s="528">
        <f t="shared" si="22"/>
        <v>0</v>
      </c>
      <c r="BE21" s="528">
        <f t="shared" si="23"/>
        <v>0</v>
      </c>
      <c r="BF21" s="528">
        <f t="shared" si="24"/>
        <v>0</v>
      </c>
      <c r="BH21" s="201"/>
      <c r="BI21" s="201"/>
      <c r="BJ21" s="201"/>
      <c r="BK21" s="201"/>
      <c r="BL21" s="201"/>
      <c r="BM21" s="201"/>
      <c r="BN21" s="201"/>
      <c r="BO21" s="201"/>
      <c r="BP21" s="201"/>
      <c r="BQ21" s="201"/>
      <c r="BR21" s="201"/>
    </row>
    <row r="22" spans="1:70" ht="13" thickBot="1">
      <c r="B22" s="162"/>
      <c r="C22" s="162"/>
      <c r="D22" s="553"/>
      <c r="E22" s="212"/>
      <c r="F22" s="164">
        <v>2031</v>
      </c>
      <c r="G22" s="164"/>
      <c r="H22" s="530"/>
      <c r="I22" s="530"/>
      <c r="J22" s="530"/>
      <c r="K22" s="530"/>
      <c r="L22" s="530"/>
      <c r="M22" s="530"/>
      <c r="N22" s="530"/>
      <c r="O22" s="530"/>
      <c r="P22" s="530"/>
      <c r="Q22" s="529"/>
      <c r="R22" s="529"/>
      <c r="S22" s="529"/>
      <c r="T22" s="529"/>
      <c r="U22" s="529"/>
      <c r="V22" s="529"/>
      <c r="W22" s="529"/>
      <c r="X22" s="529"/>
      <c r="Y22" s="529"/>
      <c r="Z22" s="529"/>
      <c r="AA22" s="529"/>
      <c r="AB22" s="529"/>
      <c r="AC22" s="529"/>
      <c r="AD22" s="529"/>
      <c r="AE22" s="529"/>
      <c r="AF22" s="529"/>
      <c r="AG22" s="529"/>
      <c r="AH22" s="529"/>
      <c r="AI22" s="521">
        <f>ROUND(Sources!$T$11,2)</f>
        <v>6.94</v>
      </c>
      <c r="AJ22" s="521">
        <f>ROUND(Sources!$T$11,2)</f>
        <v>6.94</v>
      </c>
      <c r="AK22" s="521">
        <f>ROUND(Sources!$T$11,2)</f>
        <v>6.94</v>
      </c>
      <c r="AL22" s="521">
        <f>ROUND(Sources!$T$11,2)</f>
        <v>6.94</v>
      </c>
      <c r="AM22" s="521">
        <f>ROUND(Sources!$T$11,2)</f>
        <v>6.94</v>
      </c>
      <c r="AN22" s="521">
        <f>ROUND(Sources!$T$11,2)</f>
        <v>6.94</v>
      </c>
      <c r="AO22" s="521">
        <f>ROUND(Sources!$T$11,2)</f>
        <v>6.94</v>
      </c>
      <c r="AP22" s="521">
        <f>ROUND(Sources!$T$11,2)</f>
        <v>6.94</v>
      </c>
      <c r="AQ22" s="521">
        <f>ROUND(Sources!$T$11,2)</f>
        <v>6.94</v>
      </c>
      <c r="AR22" s="521">
        <f>ROUND(Sources!$T$11,2)</f>
        <v>6.94</v>
      </c>
      <c r="AS22" s="521">
        <f>ROUND(Sources!$T$11,2)</f>
        <v>6.94</v>
      </c>
      <c r="AT22" s="521">
        <f>ROUND(Sources!$T$11,2)</f>
        <v>6.94</v>
      </c>
      <c r="AU22" s="163">
        <v>1</v>
      </c>
      <c r="AV22" s="168">
        <v>1</v>
      </c>
      <c r="AW22" s="162">
        <v>100</v>
      </c>
      <c r="AX22" s="162"/>
      <c r="AY22" s="162"/>
      <c r="AZ22" s="199"/>
      <c r="BA22" s="527">
        <f t="shared" si="10"/>
        <v>0</v>
      </c>
      <c r="BB22" s="527">
        <f t="shared" si="11"/>
        <v>0</v>
      </c>
      <c r="BC22" s="527">
        <f t="shared" si="12"/>
        <v>0</v>
      </c>
      <c r="BD22" s="528">
        <f t="shared" si="22"/>
        <v>0</v>
      </c>
      <c r="BE22" s="528">
        <f t="shared" si="23"/>
        <v>0</v>
      </c>
      <c r="BF22" s="528">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Residential Demand Heating Urban Multi -  - Low </v>
      </c>
      <c r="D23" s="127" t="str">
        <f>Commodities!$C$41&amp;","&amp;Commodities!$C$45&amp;","&amp;Commodities!$C$49&amp;","&amp;Commodities!$C$84&amp;","&amp;Commodities!C65</f>
        <v>COMHUMX,COMHUMB,COMHUMBE,COMHSAV,COMHUMSL</v>
      </c>
      <c r="E23" s="7" t="str">
        <f>Commodities!C9</f>
        <v>CHUMB</v>
      </c>
      <c r="G23" s="166"/>
      <c r="H23" s="529" cm="1">
        <f t="array" ref="H23">ROUNDUP(INDEX(Dem!$F$41:$H$44,MATCH(Buildings_DR!$E23,Dem!$B$5:$B$8,0),MATCH(RIGHT(H$7,3),Dem!$F$1:$H$1,0))*_xlfn.IFS(RIGHT($D23,1)="H",$H$4,RIGHT($D23,1)="M",$H$3,RIGHT($D23,1)="L",$H$2),2)</f>
        <v>0</v>
      </c>
      <c r="I23" s="529" cm="1">
        <f t="array" ref="I23">ROUNDUP(INDEX(Dem!$F$41:$H$44,MATCH(Buildings_DR!$E23,Dem!$B$5:$B$8,0),MATCH(RIGHT(I$7,3),Dem!$F$1:$H$1,0))*_xlfn.IFS(RIGHT($D23,1)="H",$H$4,RIGHT($D23,1)="M",$H$3,RIGHT($D23,1)="L",$H$2),2)</f>
        <v>0</v>
      </c>
      <c r="J23" s="529" cm="1">
        <f t="array" ref="J23">ROUNDUP(INDEX(Dem!$F$41:$H$44,MATCH(Buildings_DR!$E23,Dem!$B$5:$B$8,0),MATCH(RIGHT(J$7,3),Dem!$F$1:$H$1,0))*_xlfn.IFS(RIGHT($D23,1)="H",$H$4,RIGHT($D23,1)="M",$H$3,RIGHT($D23,1)="L",$H$2),2)</f>
        <v>0</v>
      </c>
      <c r="K23" s="529" cm="1">
        <f t="array" ref="K23">ROUNDUP(INDEX(Dem!$F$45:$H$48,MATCH(Buildings_DR!$E23,Dem!$B$5:$B$8,0),MATCH(RIGHT(K$7,3),Dem!$F$1:$H$1,0))*_xlfn.IFS(RIGHT($D23,1)="H",$H$4,RIGHT($D23,1)="M",$H$3,RIGHT($D23,1)="L",$H$2),2)</f>
        <v>0</v>
      </c>
      <c r="L23" s="529" cm="1">
        <f t="array" ref="L23">ROUNDUP(INDEX(Dem!$F$45:$H$48,MATCH(Buildings_DR!$E23,Dem!$B$5:$B$8,0),MATCH(RIGHT(L$7,3),Dem!$F$1:$H$1,0))*_xlfn.IFS(RIGHT($D23,1)="H",$H$4,RIGHT($D23,1)="M",$H$3,RIGHT($D23,1)="L",$H$2),2)</f>
        <v>0</v>
      </c>
      <c r="M23" s="529" cm="1">
        <f t="array" ref="M23">ROUNDUP(INDEX(Dem!$F$45:$H$48,MATCH(Buildings_DR!$E23,Dem!$B$5:$B$8,0),MATCH(RIGHT(M$7,3),Dem!$F$1:$H$1,0))*_xlfn.IFS(RIGHT($D23,1)="H",$H$4,RIGHT($D23,1)="M",$H$3,RIGHT($D23,1)="L",$H$2),2)</f>
        <v>0</v>
      </c>
      <c r="N23" s="529" cm="1">
        <f t="array" ref="N23">ROUNDUP(INDEX(Dem!$F$49:$H$52,MATCH(Buildings_DR!$E23,Dem!$B$5:$B$8,0),MATCH(RIGHT(N$7,3),Dem!$F$1:$H$1,0))*_xlfn.IFS(RIGHT($D23,1)="H",$H$4,RIGHT($D23,1)="M",$H$3,RIGHT($D23,1)="L",$H$2),2)</f>
        <v>0</v>
      </c>
      <c r="O23" s="529" cm="1">
        <f t="array" ref="O23">ROUNDUP(INDEX(Dem!$F$49:$H$52,MATCH(Buildings_DR!$E23,Dem!$B$5:$B$8,0),MATCH(RIGHT(O$7,3),Dem!$F$1:$H$1,0))*_xlfn.IFS(RIGHT($D23,1)="H",$H$4,RIGHT($D23,1)="M",$H$3,RIGHT($D23,1)="L",$H$2),2)</f>
        <v>0</v>
      </c>
      <c r="P23" s="529" cm="1">
        <f t="array" ref="P23">ROUNDUP(INDEX(Dem!$F$49:$H$52,MATCH(Buildings_DR!$E23,Dem!$B$5:$B$8,0),MATCH(RIGHT(P$7,3),Dem!$F$1:$H$1,0))*_xlfn.IFS(RIGHT($D23,1)="H",$H$4,RIGHT($D23,1)="M",$H$3,RIGHT($D23,1)="L",$H$2),2)</f>
        <v>0</v>
      </c>
      <c r="Q23" s="529">
        <f t="shared" ref="Q23:S25" si="29">H23*0.6</f>
        <v>0</v>
      </c>
      <c r="R23" s="529">
        <f t="shared" si="29"/>
        <v>0</v>
      </c>
      <c r="S23" s="529">
        <f t="shared" si="29"/>
        <v>0</v>
      </c>
      <c r="T23" s="529">
        <f t="shared" ref="T23:AE23" si="30">H23*0.99</f>
        <v>0</v>
      </c>
      <c r="U23" s="529">
        <f t="shared" si="30"/>
        <v>0</v>
      </c>
      <c r="V23" s="529">
        <f t="shared" si="30"/>
        <v>0</v>
      </c>
      <c r="W23" s="529">
        <f t="shared" si="30"/>
        <v>0</v>
      </c>
      <c r="X23" s="529">
        <f t="shared" si="30"/>
        <v>0</v>
      </c>
      <c r="Y23" s="529">
        <f t="shared" si="30"/>
        <v>0</v>
      </c>
      <c r="Z23" s="529">
        <f t="shared" si="30"/>
        <v>0</v>
      </c>
      <c r="AA23" s="529">
        <f t="shared" si="30"/>
        <v>0</v>
      </c>
      <c r="AB23" s="529">
        <f t="shared" si="30"/>
        <v>0</v>
      </c>
      <c r="AC23" s="529">
        <f t="shared" si="30"/>
        <v>0</v>
      </c>
      <c r="AD23" s="529">
        <f t="shared" si="30"/>
        <v>0</v>
      </c>
      <c r="AE23" s="529">
        <f t="shared" si="30"/>
        <v>0</v>
      </c>
      <c r="AF23" s="529">
        <v>5</v>
      </c>
      <c r="AG23" s="529">
        <v>5</v>
      </c>
      <c r="AH23" s="529">
        <v>5</v>
      </c>
      <c r="AI23" s="519">
        <f t="shared" ref="AI23:AT23" si="31">AI24/2</f>
        <v>5.7149999999999999</v>
      </c>
      <c r="AJ23" s="519" t="e">
        <f t="shared" si="31"/>
        <v>#DIV/0!</v>
      </c>
      <c r="AK23" s="519" t="e">
        <f t="shared" si="31"/>
        <v>#DIV/0!</v>
      </c>
      <c r="AL23" s="519">
        <f t="shared" si="31"/>
        <v>5.5465200000000001</v>
      </c>
      <c r="AM23" s="519" t="e">
        <f t="shared" si="31"/>
        <v>#DIV/0!</v>
      </c>
      <c r="AN23" s="519" t="e">
        <f t="shared" si="31"/>
        <v>#DIV/0!</v>
      </c>
      <c r="AO23" s="519">
        <f t="shared" si="31"/>
        <v>5.375</v>
      </c>
      <c r="AP23" s="519" t="e">
        <f t="shared" si="31"/>
        <v>#DIV/0!</v>
      </c>
      <c r="AQ23" s="519" t="e">
        <f t="shared" si="31"/>
        <v>#DIV/0!</v>
      </c>
      <c r="AR23" s="519">
        <f t="shared" si="31"/>
        <v>5.7649999999999997</v>
      </c>
      <c r="AS23" s="519" t="e">
        <f t="shared" si="31"/>
        <v>#DIV/0!</v>
      </c>
      <c r="AT23" s="519" t="e">
        <f t="shared" si="31"/>
        <v>#DIV/0!</v>
      </c>
      <c r="AU23" s="167">
        <v>1</v>
      </c>
      <c r="AV23" s="165">
        <v>1</v>
      </c>
      <c r="AW23" s="160"/>
      <c r="AX23" s="162"/>
      <c r="AY23" s="162"/>
      <c r="AZ23" s="199"/>
      <c r="BA23" s="527">
        <f t="shared" si="10"/>
        <v>0</v>
      </c>
      <c r="BB23" s="527">
        <f t="shared" si="11"/>
        <v>0</v>
      </c>
      <c r="BC23" s="527">
        <f t="shared" si="12"/>
        <v>0</v>
      </c>
      <c r="BD23" s="528">
        <f t="shared" si="22"/>
        <v>0</v>
      </c>
      <c r="BE23" s="528" t="e">
        <f t="shared" si="23"/>
        <v>#DIV/0!</v>
      </c>
      <c r="BF23" s="528"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Residential Demand Heating Urban Multi -  - Medium </v>
      </c>
      <c r="D24" s="127" t="str">
        <f>Commodities!$C$41&amp;","&amp;Commodities!$C$45&amp;","&amp;Commodities!$C$49&amp;","&amp;Commodities!$C$84&amp;","&amp;Commodities!C66</f>
        <v>COMHUMX,COMHUMB,COMHUMBE,COMHSAV,COMHUMSM</v>
      </c>
      <c r="E24" s="191" t="str">
        <f>E23</f>
        <v>CHUMB</v>
      </c>
      <c r="G24" s="191"/>
      <c r="H24" s="529" cm="1">
        <f t="array" ref="H24">ROUNDUP(INDEX(Dem!$F$41:$H$44,MATCH(Buildings_DR!$E24,Dem!$B$5:$B$8,0),MATCH(RIGHT(H$7,3),Dem!$F$1:$H$1,0))*_xlfn.IFS(RIGHT($D24,1)="H",$H$4,RIGHT($D24,1)="M",$H$3,RIGHT($D24,1)="L",$H$2),2)</f>
        <v>1110.1299999999999</v>
      </c>
      <c r="I24" s="529" cm="1">
        <f t="array" ref="I24">ROUNDUP(INDEX(Dem!$F$41:$H$44,MATCH(Buildings_DR!$E24,Dem!$B$5:$B$8,0),MATCH(RIGHT(I$7,3),Dem!$F$1:$H$1,0))*_xlfn.IFS(RIGHT($D24,1)="H",$H$4,RIGHT($D24,1)="M",$H$3,RIGHT($D24,1)="L",$H$2),2)</f>
        <v>0</v>
      </c>
      <c r="J24" s="529" cm="1">
        <f t="array" ref="J24">ROUNDUP(INDEX(Dem!$F$41:$H$44,MATCH(Buildings_DR!$E24,Dem!$B$5:$B$8,0),MATCH(RIGHT(J$7,3),Dem!$F$1:$H$1,0))*_xlfn.IFS(RIGHT($D24,1)="H",$H$4,RIGHT($D24,1)="M",$H$3,RIGHT($D24,1)="L",$H$2),2)</f>
        <v>0</v>
      </c>
      <c r="K24" s="529" cm="1">
        <f t="array" ref="K24">ROUNDUP(INDEX(Dem!$F$45:$H$48,MATCH(Buildings_DR!$E24,Dem!$B$5:$B$8,0),MATCH(RIGHT(K$7,3),Dem!$F$1:$H$1,0))*_xlfn.IFS(RIGHT($D24,1)="H",$H$4,RIGHT($D24,1)="M",$H$3,RIGHT($D24,1)="L",$H$2),2)</f>
        <v>1145.08</v>
      </c>
      <c r="L24" s="529" cm="1">
        <f t="array" ref="L24">ROUNDUP(INDEX(Dem!$F$45:$H$48,MATCH(Buildings_DR!$E24,Dem!$B$5:$B$8,0),MATCH(RIGHT(L$7,3),Dem!$F$1:$H$1,0))*_xlfn.IFS(RIGHT($D24,1)="H",$H$4,RIGHT($D24,1)="M",$H$3,RIGHT($D24,1)="L",$H$2),2)</f>
        <v>0</v>
      </c>
      <c r="M24" s="529" cm="1">
        <f t="array" ref="M24">ROUNDUP(INDEX(Dem!$F$45:$H$48,MATCH(Buildings_DR!$E24,Dem!$B$5:$B$8,0),MATCH(RIGHT(M$7,3),Dem!$F$1:$H$1,0))*_xlfn.IFS(RIGHT($D24,1)="H",$H$4,RIGHT($D24,1)="M",$H$3,RIGHT($D24,1)="L",$H$2),2)</f>
        <v>0</v>
      </c>
      <c r="N24" s="529" cm="1">
        <f t="array" ref="N24">ROUNDUP(INDEX(Dem!$F$49:$H$52,MATCH(Buildings_DR!$E24,Dem!$B$5:$B$8,0),MATCH(RIGHT(N$7,3),Dem!$F$1:$H$1,0))*_xlfn.IFS(RIGHT($D24,1)="H",$H$4,RIGHT($D24,1)="M",$H$3,RIGHT($D24,1)="L",$H$2),2)</f>
        <v>1162.24</v>
      </c>
      <c r="O24" s="529" cm="1">
        <f t="array" ref="O24">ROUNDUP(INDEX(Dem!$F$49:$H$52,MATCH(Buildings_DR!$E24,Dem!$B$5:$B$8,0),MATCH(RIGHT(O$7,3),Dem!$F$1:$H$1,0))*_xlfn.IFS(RIGHT($D24,1)="H",$H$4,RIGHT($D24,1)="M",$H$3,RIGHT($D24,1)="L",$H$2),2)</f>
        <v>0</v>
      </c>
      <c r="P24" s="529" cm="1">
        <f t="array" ref="P24">ROUNDUP(INDEX(Dem!$F$49:$H$52,MATCH(Buildings_DR!$E24,Dem!$B$5:$B$8,0),MATCH(RIGHT(P$7,3),Dem!$F$1:$H$1,0))*_xlfn.IFS(RIGHT($D24,1)="H",$H$4,RIGHT($D24,1)="M",$H$3,RIGHT($D24,1)="L",$H$2),2)</f>
        <v>0</v>
      </c>
      <c r="Q24" s="529">
        <f t="shared" si="29"/>
        <v>666.07799999999986</v>
      </c>
      <c r="R24" s="529">
        <f t="shared" si="29"/>
        <v>0</v>
      </c>
      <c r="S24" s="529">
        <f t="shared" si="29"/>
        <v>0</v>
      </c>
      <c r="T24" s="529">
        <f t="shared" ref="T24:AB24" si="32">H24*$K$2</f>
        <v>1099.0286999999998</v>
      </c>
      <c r="U24" s="529">
        <f t="shared" si="32"/>
        <v>0</v>
      </c>
      <c r="V24" s="529">
        <f t="shared" si="32"/>
        <v>0</v>
      </c>
      <c r="W24" s="529">
        <f>K24*$K$2</f>
        <v>1133.6291999999999</v>
      </c>
      <c r="X24" s="529">
        <f t="shared" si="32"/>
        <v>0</v>
      </c>
      <c r="Y24" s="529">
        <f t="shared" si="32"/>
        <v>0</v>
      </c>
      <c r="Z24" s="529">
        <f>N24*$K$2</f>
        <v>1150.6176</v>
      </c>
      <c r="AA24" s="529">
        <f t="shared" si="32"/>
        <v>0</v>
      </c>
      <c r="AB24" s="529">
        <f t="shared" si="32"/>
        <v>0</v>
      </c>
      <c r="AC24" s="529">
        <f>Q24*$K$3</f>
        <v>659.41721999999982</v>
      </c>
      <c r="AD24" s="529">
        <f>R24*$K$3</f>
        <v>0</v>
      </c>
      <c r="AE24" s="529">
        <f>S24*$K$3</f>
        <v>0</v>
      </c>
      <c r="AF24" s="529">
        <v>5</v>
      </c>
      <c r="AG24" s="529">
        <v>5</v>
      </c>
      <c r="AH24" s="529">
        <v>5</v>
      </c>
      <c r="AI24" s="520">
        <f>ROUNDUP(SUM(H23:H29)/SUM(Boilers_DR!AB28:AB38),2)</f>
        <v>11.43</v>
      </c>
      <c r="AJ24" s="520" t="e">
        <f>ROUNDUP(SUM(I23:I29)/SUM(Boilers_DR!AC28:AC38),2)</f>
        <v>#DIV/0!</v>
      </c>
      <c r="AK24" s="520" t="e">
        <f>ROUNDUP(SUM(J23:J29)/SUM(Boilers_DR!AD28:AD38),2)</f>
        <v>#DIV/0!</v>
      </c>
      <c r="AL24" s="520">
        <f>ROUNDUP(SUM(K23:K29)/SUM(Boilers_DR!AB70:AB79),2)*AL3</f>
        <v>11.09304</v>
      </c>
      <c r="AM24" s="520" t="e">
        <f>ROUNDUP(SUM(L23:L29)/SUM(Boilers_DR!AC70:AC79),2)*AM3</f>
        <v>#DIV/0!</v>
      </c>
      <c r="AN24" s="520" t="e">
        <f>ROUNDUP(SUM(M23:M29)/SUM(Boilers_DR!AD70:AD79),2)*AN3</f>
        <v>#DIV/0!</v>
      </c>
      <c r="AO24" s="520">
        <f>ROUNDUP(SUM(N23:N29)/SUM(Boilers_DR!AB110:AB119),2)</f>
        <v>10.75</v>
      </c>
      <c r="AP24" s="520" t="e">
        <f>ROUNDUP(SUM(O23:O29)/SUM(Boilers_DR!AC110:AC119),2)</f>
        <v>#DIV/0!</v>
      </c>
      <c r="AQ24" s="520" t="e">
        <f>ROUNDUP(SUM(P23:P29)/SUM(Boilers_DR!AD110:AD119),2)</f>
        <v>#DIV/0!</v>
      </c>
      <c r="AR24" s="520">
        <f>ROUNDUP(SUM(N23:N29)/SUM(Boilers_DR!AB150:AB159),2)</f>
        <v>11.53</v>
      </c>
      <c r="AS24" s="520" t="e">
        <f>ROUNDUP(SUM(O23:O29)/SUM(Boilers_DR!AC150:AC159),2)</f>
        <v>#DIV/0!</v>
      </c>
      <c r="AT24" s="520" t="e">
        <f>ROUNDUP(SUM(P23:P29)/SUM(Boilers_DR!AD150:AD159),2)</f>
        <v>#DIV/0!</v>
      </c>
      <c r="AU24" s="163">
        <v>1</v>
      </c>
      <c r="AV24" s="162">
        <v>1</v>
      </c>
      <c r="AW24" s="160"/>
      <c r="AX24" s="162"/>
      <c r="AY24" s="162"/>
      <c r="AZ24" s="199"/>
      <c r="BA24" s="527">
        <f t="shared" si="10"/>
        <v>1110.1299999999999</v>
      </c>
      <c r="BB24" s="527">
        <f t="shared" si="11"/>
        <v>0</v>
      </c>
      <c r="BC24" s="527">
        <f t="shared" si="12"/>
        <v>0</v>
      </c>
      <c r="BD24" s="528">
        <f t="shared" si="22"/>
        <v>97.12423447069115</v>
      </c>
      <c r="BE24" s="528" t="e">
        <f t="shared" si="23"/>
        <v>#DIV/0!</v>
      </c>
      <c r="BF24" s="528"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Residential Demand Heating Urban Multi -  - High </v>
      </c>
      <c r="D25" s="127" t="str">
        <f>Commodities!$C$41&amp;","&amp;Commodities!$C$45&amp;","&amp;Commodities!$C$49&amp;","&amp;Commodities!$C$84&amp;","&amp;Commodities!C67</f>
        <v>COMHUMX,COMHUMB,COMHUMBE,COMHSAV,COMHUMSH</v>
      </c>
      <c r="E25" s="191" t="str">
        <f>E24</f>
        <v>CHUMB</v>
      </c>
      <c r="G25" s="191"/>
      <c r="H25" s="529" cm="1">
        <f t="array" ref="H25">ROUNDUP(INDEX(Dem!$F$41:$H$44,MATCH(Buildings_DR!$E25,Dem!$B$5:$B$8,0),MATCH(RIGHT(H$7,3),Dem!$F$1:$H$1,0))*_xlfn.IFS(RIGHT($D25,1)="H",$H$4,RIGHT($D25,1)="M",$H$3,RIGHT($D25,1)="L",$H$2),2)</f>
        <v>0</v>
      </c>
      <c r="I25" s="529" cm="1">
        <f t="array" ref="I25">ROUNDUP(INDEX(Dem!$F$41:$H$44,MATCH(Buildings_DR!$E25,Dem!$B$5:$B$8,0),MATCH(RIGHT(I$7,3),Dem!$F$1:$H$1,0))*_xlfn.IFS(RIGHT($D25,1)="H",$H$4,RIGHT($D25,1)="M",$H$3,RIGHT($D25,1)="L",$H$2),2)</f>
        <v>0</v>
      </c>
      <c r="J25" s="529" cm="1">
        <f t="array" ref="J25">ROUNDUP(INDEX(Dem!$F$41:$H$44,MATCH(Buildings_DR!$E25,Dem!$B$5:$B$8,0),MATCH(RIGHT(J$7,3),Dem!$F$1:$H$1,0))*_xlfn.IFS(RIGHT($D25,1)="H",$H$4,RIGHT($D25,1)="M",$H$3,RIGHT($D25,1)="L",$H$2),2)</f>
        <v>0</v>
      </c>
      <c r="K25" s="529" cm="1">
        <f t="array" ref="K25">ROUNDUP(INDEX(Dem!$F$45:$H$48,MATCH(Buildings_DR!$E25,Dem!$B$5:$B$8,0),MATCH(RIGHT(K$7,3),Dem!$F$1:$H$1,0))*_xlfn.IFS(RIGHT($D25,1)="H",$H$4,RIGHT($D25,1)="M",$H$3,RIGHT($D25,1)="L",$H$2),2)</f>
        <v>0</v>
      </c>
      <c r="L25" s="529" cm="1">
        <f t="array" ref="L25">ROUNDUP(INDEX(Dem!$F$45:$H$48,MATCH(Buildings_DR!$E25,Dem!$B$5:$B$8,0),MATCH(RIGHT(L$7,3),Dem!$F$1:$H$1,0))*_xlfn.IFS(RIGHT($D25,1)="H",$H$4,RIGHT($D25,1)="M",$H$3,RIGHT($D25,1)="L",$H$2),2)</f>
        <v>0</v>
      </c>
      <c r="M25" s="529" cm="1">
        <f t="array" ref="M25">ROUNDUP(INDEX(Dem!$F$45:$H$48,MATCH(Buildings_DR!$E25,Dem!$B$5:$B$8,0),MATCH(RIGHT(M$7,3),Dem!$F$1:$H$1,0))*_xlfn.IFS(RIGHT($D25,1)="H",$H$4,RIGHT($D25,1)="M",$H$3,RIGHT($D25,1)="L",$H$2),2)</f>
        <v>0</v>
      </c>
      <c r="N25" s="529" cm="1">
        <f t="array" ref="N25">ROUNDUP(INDEX(Dem!$F$49:$H$52,MATCH(Buildings_DR!$E25,Dem!$B$5:$B$8,0),MATCH(RIGHT(N$7,3),Dem!$F$1:$H$1,0))*_xlfn.IFS(RIGHT($D25,1)="H",$H$4,RIGHT($D25,1)="M",$H$3,RIGHT($D25,1)="L",$H$2),2)</f>
        <v>0</v>
      </c>
      <c r="O25" s="529" cm="1">
        <f t="array" ref="O25">ROUNDUP(INDEX(Dem!$F$49:$H$52,MATCH(Buildings_DR!$E25,Dem!$B$5:$B$8,0),MATCH(RIGHT(O$7,3),Dem!$F$1:$H$1,0))*_xlfn.IFS(RIGHT($D25,1)="H",$H$4,RIGHT($D25,1)="M",$H$3,RIGHT($D25,1)="L",$H$2),2)</f>
        <v>0</v>
      </c>
      <c r="P25" s="529" cm="1">
        <f t="array" ref="P25">ROUNDUP(INDEX(Dem!$F$49:$H$52,MATCH(Buildings_DR!$E25,Dem!$B$5:$B$8,0),MATCH(RIGHT(P$7,3),Dem!$F$1:$H$1,0))*_xlfn.IFS(RIGHT($D25,1)="H",$H$4,RIGHT($D25,1)="M",$H$3,RIGHT($D25,1)="L",$H$2),2)</f>
        <v>0</v>
      </c>
      <c r="Q25" s="529">
        <f t="shared" si="29"/>
        <v>0</v>
      </c>
      <c r="R25" s="529">
        <f t="shared" si="29"/>
        <v>0</v>
      </c>
      <c r="S25" s="529">
        <f t="shared" si="29"/>
        <v>0</v>
      </c>
      <c r="T25" s="529">
        <f t="shared" ref="T25:AE25" si="33">H25*0.99</f>
        <v>0</v>
      </c>
      <c r="U25" s="529">
        <f t="shared" si="33"/>
        <v>0</v>
      </c>
      <c r="V25" s="529">
        <f t="shared" si="33"/>
        <v>0</v>
      </c>
      <c r="W25" s="529">
        <f t="shared" si="33"/>
        <v>0</v>
      </c>
      <c r="X25" s="529">
        <f t="shared" si="33"/>
        <v>0</v>
      </c>
      <c r="Y25" s="529">
        <f t="shared" si="33"/>
        <v>0</v>
      </c>
      <c r="Z25" s="529">
        <f t="shared" si="33"/>
        <v>0</v>
      </c>
      <c r="AA25" s="529">
        <f t="shared" si="33"/>
        <v>0</v>
      </c>
      <c r="AB25" s="529">
        <f t="shared" si="33"/>
        <v>0</v>
      </c>
      <c r="AC25" s="529">
        <f t="shared" si="33"/>
        <v>0</v>
      </c>
      <c r="AD25" s="529">
        <f t="shared" si="33"/>
        <v>0</v>
      </c>
      <c r="AE25" s="529">
        <f t="shared" si="33"/>
        <v>0</v>
      </c>
      <c r="AF25" s="529">
        <v>5</v>
      </c>
      <c r="AG25" s="529">
        <v>5</v>
      </c>
      <c r="AH25" s="529">
        <v>5</v>
      </c>
      <c r="AI25" s="520">
        <f t="shared" ref="AI25:AQ25" si="34">AI24/2+AI26/2</f>
        <v>7.2850000000000001</v>
      </c>
      <c r="AJ25" s="520" t="e">
        <f t="shared" si="34"/>
        <v>#DIV/0!</v>
      </c>
      <c r="AK25" s="520" t="e">
        <f t="shared" si="34"/>
        <v>#DIV/0!</v>
      </c>
      <c r="AL25" s="520">
        <f t="shared" si="34"/>
        <v>7.1165200000000004</v>
      </c>
      <c r="AM25" s="520" t="e">
        <f t="shared" si="34"/>
        <v>#DIV/0!</v>
      </c>
      <c r="AN25" s="520" t="e">
        <f t="shared" si="34"/>
        <v>#DIV/0!</v>
      </c>
      <c r="AO25" s="520">
        <f t="shared" si="34"/>
        <v>6.9450000000000003</v>
      </c>
      <c r="AP25" s="520" t="e">
        <f t="shared" si="34"/>
        <v>#DIV/0!</v>
      </c>
      <c r="AQ25" s="520" t="e">
        <f t="shared" si="34"/>
        <v>#DIV/0!</v>
      </c>
      <c r="AR25" s="520">
        <f t="shared" ref="AR25:AT25" si="35">AR24/2+AR26/2</f>
        <v>7.335</v>
      </c>
      <c r="AS25" s="520" t="e">
        <f t="shared" si="35"/>
        <v>#DIV/0!</v>
      </c>
      <c r="AT25" s="520" t="e">
        <f t="shared" si="35"/>
        <v>#DIV/0!</v>
      </c>
      <c r="AU25" s="163">
        <v>1</v>
      </c>
      <c r="AV25" s="162">
        <v>1</v>
      </c>
      <c r="AW25" s="162"/>
      <c r="AX25" s="162"/>
      <c r="AY25" s="162"/>
      <c r="AZ25" s="199"/>
      <c r="BA25" s="527">
        <f t="shared" si="10"/>
        <v>0</v>
      </c>
      <c r="BB25" s="527">
        <f t="shared" si="11"/>
        <v>0</v>
      </c>
      <c r="BC25" s="527">
        <f t="shared" si="12"/>
        <v>0</v>
      </c>
      <c r="BD25" s="528">
        <f t="shared" si="22"/>
        <v>0</v>
      </c>
      <c r="BE25" s="528" t="e">
        <f t="shared" si="23"/>
        <v>#DIV/0!</v>
      </c>
      <c r="BF25" s="528"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Residential Demand Heating Urban Multi -  - New </v>
      </c>
      <c r="D26" s="127" t="str">
        <f>Commodities!$C$41&amp;","&amp;Commodities!$C$45&amp;","&amp;Commodities!$C$53</f>
        <v>COMHUMX,COMHUMB,COMHUMBN</v>
      </c>
      <c r="E26" s="191" t="str">
        <f>E25</f>
        <v>CHUMB</v>
      </c>
      <c r="F26" s="156">
        <v>2011</v>
      </c>
      <c r="G26" s="191">
        <v>2011</v>
      </c>
      <c r="H26" s="529"/>
      <c r="I26" s="529"/>
      <c r="J26" s="529"/>
      <c r="K26" s="529"/>
      <c r="L26" s="529"/>
      <c r="M26" s="529"/>
      <c r="N26" s="529"/>
      <c r="O26" s="529"/>
      <c r="P26" s="529"/>
      <c r="Q26" s="529"/>
      <c r="R26" s="529"/>
      <c r="S26" s="529"/>
      <c r="T26" s="529"/>
      <c r="U26" s="529"/>
      <c r="V26" s="529"/>
      <c r="W26" s="529"/>
      <c r="X26" s="529"/>
      <c r="Y26" s="529"/>
      <c r="Z26" s="529"/>
      <c r="AA26" s="529"/>
      <c r="AB26" s="529"/>
      <c r="AC26" s="529"/>
      <c r="AD26" s="529"/>
      <c r="AE26" s="529"/>
      <c r="AF26" s="529"/>
      <c r="AG26" s="529"/>
      <c r="AH26" s="529"/>
      <c r="AI26" s="521">
        <f>ROUND(Sources!$U$8,2)</f>
        <v>3.14</v>
      </c>
      <c r="AJ26" s="521">
        <f>ROUND(Sources!$U$8,2)</f>
        <v>3.14</v>
      </c>
      <c r="AK26" s="521">
        <f>ROUND(Sources!$U$8,2)</f>
        <v>3.14</v>
      </c>
      <c r="AL26" s="521">
        <f>ROUND(Sources!$U$8,2)</f>
        <v>3.14</v>
      </c>
      <c r="AM26" s="521">
        <f>ROUND(Sources!$U$8,2)</f>
        <v>3.14</v>
      </c>
      <c r="AN26" s="521">
        <f>ROUND(Sources!$U$8,2)</f>
        <v>3.14</v>
      </c>
      <c r="AO26" s="521">
        <f>ROUND(Sources!$U$8,2)</f>
        <v>3.14</v>
      </c>
      <c r="AP26" s="521">
        <f>ROUND(Sources!$U$8,2)</f>
        <v>3.14</v>
      </c>
      <c r="AQ26" s="521">
        <f>ROUND(Sources!$U$8,2)</f>
        <v>3.14</v>
      </c>
      <c r="AR26" s="521">
        <f>ROUND(Sources!$U$8,2)</f>
        <v>3.14</v>
      </c>
      <c r="AS26" s="521">
        <f>ROUND(Sources!$U$8,2)</f>
        <v>3.14</v>
      </c>
      <c r="AT26" s="521">
        <f>ROUND(Sources!$U$8,2)</f>
        <v>3.14</v>
      </c>
      <c r="AU26" s="163">
        <v>1</v>
      </c>
      <c r="AV26" s="168">
        <v>1</v>
      </c>
      <c r="AW26" s="162">
        <v>100</v>
      </c>
      <c r="AX26" s="162"/>
      <c r="AY26" s="162"/>
      <c r="BA26" s="527">
        <f t="shared" si="10"/>
        <v>0</v>
      </c>
      <c r="BB26" s="527">
        <f t="shared" si="11"/>
        <v>0</v>
      </c>
      <c r="BC26" s="527">
        <f t="shared" si="12"/>
        <v>0</v>
      </c>
      <c r="BD26" s="528">
        <f t="shared" ref="BD26:BF29" si="36">BA26/AI12</f>
        <v>0</v>
      </c>
      <c r="BE26" s="528">
        <f t="shared" si="36"/>
        <v>0</v>
      </c>
      <c r="BF26" s="528">
        <f t="shared" si="36"/>
        <v>0</v>
      </c>
      <c r="BH26" s="201"/>
      <c r="BI26" s="201"/>
      <c r="BJ26" s="201"/>
      <c r="BK26" s="201"/>
      <c r="BL26" s="201"/>
      <c r="BM26" s="201"/>
      <c r="BN26" s="201"/>
      <c r="BO26" s="201"/>
      <c r="BP26" s="201"/>
      <c r="BQ26" s="201"/>
      <c r="BR26" s="201"/>
    </row>
    <row r="27" spans="1:70">
      <c r="B27" s="162"/>
      <c r="C27" s="162"/>
      <c r="D27" s="553"/>
      <c r="E27" s="191"/>
      <c r="F27" s="156">
        <v>2016</v>
      </c>
      <c r="H27" s="529"/>
      <c r="I27" s="529"/>
      <c r="J27" s="529"/>
      <c r="K27" s="529"/>
      <c r="L27" s="529"/>
      <c r="M27" s="529"/>
      <c r="N27" s="529"/>
      <c r="O27" s="529"/>
      <c r="P27" s="529"/>
      <c r="Q27" s="529"/>
      <c r="R27" s="529"/>
      <c r="S27" s="529"/>
      <c r="T27" s="529"/>
      <c r="U27" s="529"/>
      <c r="V27" s="529"/>
      <c r="W27" s="529"/>
      <c r="X27" s="529"/>
      <c r="Y27" s="529"/>
      <c r="Z27" s="529"/>
      <c r="AA27" s="529"/>
      <c r="AB27" s="529"/>
      <c r="AC27" s="529"/>
      <c r="AD27" s="529"/>
      <c r="AE27" s="529"/>
      <c r="AF27" s="529"/>
      <c r="AG27" s="529"/>
      <c r="AH27" s="529"/>
      <c r="AI27" s="521">
        <f>ROUND(Sources!$U$9,2)</f>
        <v>3.69</v>
      </c>
      <c r="AJ27" s="521">
        <f>ROUND(Sources!$U$9,2)</f>
        <v>3.69</v>
      </c>
      <c r="AK27" s="521">
        <f>ROUND(Sources!$U$9,2)</f>
        <v>3.69</v>
      </c>
      <c r="AL27" s="521">
        <f>ROUND(Sources!$U$9,2)</f>
        <v>3.69</v>
      </c>
      <c r="AM27" s="521">
        <f>ROUND(Sources!$U$9,2)</f>
        <v>3.69</v>
      </c>
      <c r="AN27" s="521">
        <f>ROUND(Sources!$U$9,2)</f>
        <v>3.69</v>
      </c>
      <c r="AO27" s="521">
        <f>ROUND(Sources!$U$9,2)</f>
        <v>3.69</v>
      </c>
      <c r="AP27" s="521">
        <f>ROUND(Sources!$U$9,2)</f>
        <v>3.69</v>
      </c>
      <c r="AQ27" s="521">
        <f>ROUND(Sources!$U$9,2)</f>
        <v>3.69</v>
      </c>
      <c r="AR27" s="521">
        <f>ROUND(Sources!$U$9,2)</f>
        <v>3.69</v>
      </c>
      <c r="AS27" s="521">
        <f>ROUND(Sources!$U$9,2)</f>
        <v>3.69</v>
      </c>
      <c r="AT27" s="521">
        <f>ROUND(Sources!$U$9,2)</f>
        <v>3.69</v>
      </c>
      <c r="AU27" s="163">
        <v>1</v>
      </c>
      <c r="AV27" s="168">
        <v>1</v>
      </c>
      <c r="AW27" s="162">
        <v>100</v>
      </c>
      <c r="AX27" s="162"/>
      <c r="AY27" s="162"/>
      <c r="BA27" s="527">
        <f t="shared" si="10"/>
        <v>0</v>
      </c>
      <c r="BB27" s="527">
        <f t="shared" si="11"/>
        <v>0</v>
      </c>
      <c r="BC27" s="527">
        <f t="shared" si="12"/>
        <v>0</v>
      </c>
      <c r="BD27" s="528">
        <f t="shared" si="36"/>
        <v>0</v>
      </c>
      <c r="BE27" s="528">
        <f t="shared" si="36"/>
        <v>0</v>
      </c>
      <c r="BF27" s="528">
        <f t="shared" si="36"/>
        <v>0</v>
      </c>
      <c r="BH27" s="201"/>
      <c r="BI27" s="201"/>
      <c r="BJ27" s="201"/>
      <c r="BK27" s="201"/>
      <c r="BL27" s="201"/>
      <c r="BM27" s="201"/>
      <c r="BN27" s="201"/>
      <c r="BO27" s="201"/>
      <c r="BP27" s="201"/>
      <c r="BQ27" s="201"/>
      <c r="BR27" s="201"/>
    </row>
    <row r="28" spans="1:70">
      <c r="B28" s="162"/>
      <c r="C28" s="162"/>
      <c r="D28" s="553"/>
      <c r="E28" s="191"/>
      <c r="F28" s="156">
        <v>2021</v>
      </c>
      <c r="H28" s="529"/>
      <c r="I28" s="529"/>
      <c r="J28" s="529"/>
      <c r="K28" s="529"/>
      <c r="L28" s="529"/>
      <c r="M28" s="529"/>
      <c r="N28" s="529"/>
      <c r="O28" s="529"/>
      <c r="P28" s="529"/>
      <c r="Q28" s="529"/>
      <c r="R28" s="529"/>
      <c r="S28" s="529"/>
      <c r="T28" s="529"/>
      <c r="U28" s="529"/>
      <c r="V28" s="529"/>
      <c r="W28" s="529"/>
      <c r="X28" s="529"/>
      <c r="Y28" s="529"/>
      <c r="Z28" s="529"/>
      <c r="AA28" s="529"/>
      <c r="AB28" s="529"/>
      <c r="AC28" s="529"/>
      <c r="AD28" s="529"/>
      <c r="AE28" s="529"/>
      <c r="AF28" s="529"/>
      <c r="AG28" s="529"/>
      <c r="AH28" s="529"/>
      <c r="AI28" s="521">
        <f>ROUND(Sources!$U$10,2)</f>
        <v>6.08</v>
      </c>
      <c r="AJ28" s="521">
        <f>ROUND(Sources!$U$10,2)</f>
        <v>6.08</v>
      </c>
      <c r="AK28" s="521">
        <f>ROUND(Sources!$U$10,2)</f>
        <v>6.08</v>
      </c>
      <c r="AL28" s="521">
        <f>ROUND(Sources!$U$10,2)</f>
        <v>6.08</v>
      </c>
      <c r="AM28" s="521">
        <f>ROUND(Sources!$U$10,2)</f>
        <v>6.08</v>
      </c>
      <c r="AN28" s="521">
        <f>ROUND(Sources!$U$10,2)</f>
        <v>6.08</v>
      </c>
      <c r="AO28" s="521">
        <f>ROUND(Sources!$U$10,2)</f>
        <v>6.08</v>
      </c>
      <c r="AP28" s="521">
        <f>ROUND(Sources!$U$10,2)</f>
        <v>6.08</v>
      </c>
      <c r="AQ28" s="521">
        <f>ROUND(Sources!$U$10,2)</f>
        <v>6.08</v>
      </c>
      <c r="AR28" s="521">
        <f>ROUND(Sources!$U$10,2)</f>
        <v>6.08</v>
      </c>
      <c r="AS28" s="521">
        <f>ROUND(Sources!$U$10,2)</f>
        <v>6.08</v>
      </c>
      <c r="AT28" s="521">
        <f>ROUND(Sources!$U$10,2)</f>
        <v>6.08</v>
      </c>
      <c r="AU28" s="163">
        <v>1</v>
      </c>
      <c r="AV28" s="168">
        <v>1</v>
      </c>
      <c r="AW28" s="162">
        <v>100</v>
      </c>
      <c r="AX28" s="162"/>
      <c r="AY28" s="162"/>
      <c r="BA28" s="527">
        <f t="shared" si="10"/>
        <v>0</v>
      </c>
      <c r="BB28" s="527">
        <f t="shared" si="11"/>
        <v>0</v>
      </c>
      <c r="BC28" s="527">
        <f t="shared" si="12"/>
        <v>0</v>
      </c>
      <c r="BD28" s="528">
        <f t="shared" si="36"/>
        <v>0</v>
      </c>
      <c r="BE28" s="528">
        <f t="shared" si="36"/>
        <v>0</v>
      </c>
      <c r="BF28" s="528">
        <f t="shared" si="36"/>
        <v>0</v>
      </c>
      <c r="BH28" s="201"/>
      <c r="BI28" s="201"/>
      <c r="BJ28" s="201"/>
      <c r="BK28" s="201"/>
      <c r="BL28" s="201"/>
      <c r="BM28" s="201"/>
      <c r="BN28" s="201"/>
      <c r="BO28" s="201"/>
      <c r="BP28" s="201"/>
      <c r="BQ28" s="201"/>
      <c r="BR28" s="201"/>
    </row>
    <row r="29" spans="1:70" ht="13" thickBot="1">
      <c r="B29" s="162"/>
      <c r="C29" s="162"/>
      <c r="D29" s="553"/>
      <c r="E29" s="212"/>
      <c r="F29" s="164">
        <v>2031</v>
      </c>
      <c r="G29" s="164"/>
      <c r="H29" s="530"/>
      <c r="I29" s="530"/>
      <c r="J29" s="530"/>
      <c r="K29" s="530"/>
      <c r="L29" s="530"/>
      <c r="M29" s="530"/>
      <c r="N29" s="530"/>
      <c r="O29" s="530"/>
      <c r="P29" s="530"/>
      <c r="Q29" s="530"/>
      <c r="R29" s="530"/>
      <c r="S29" s="530"/>
      <c r="T29" s="530"/>
      <c r="U29" s="530"/>
      <c r="V29" s="530"/>
      <c r="W29" s="530"/>
      <c r="X29" s="530"/>
      <c r="Y29" s="530"/>
      <c r="Z29" s="530"/>
      <c r="AA29" s="530"/>
      <c r="AB29" s="530"/>
      <c r="AC29" s="530"/>
      <c r="AD29" s="530"/>
      <c r="AE29" s="530"/>
      <c r="AF29" s="530"/>
      <c r="AG29" s="530"/>
      <c r="AH29" s="530"/>
      <c r="AI29" s="525">
        <f>ROUND(Sources!$U$11,2)</f>
        <v>6.94</v>
      </c>
      <c r="AJ29" s="521">
        <f>ROUND(Sources!$U$11,2)</f>
        <v>6.94</v>
      </c>
      <c r="AK29" s="521">
        <f>ROUND(Sources!$U$11,2)</f>
        <v>6.94</v>
      </c>
      <c r="AL29" s="525">
        <f>ROUND(Sources!$U$11,2)</f>
        <v>6.94</v>
      </c>
      <c r="AM29" s="521">
        <f>ROUND(Sources!$U$11,2)</f>
        <v>6.94</v>
      </c>
      <c r="AN29" s="521">
        <f>ROUND(Sources!$U$11,2)</f>
        <v>6.94</v>
      </c>
      <c r="AO29" s="525">
        <f>ROUND(Sources!$U$11,2)</f>
        <v>6.94</v>
      </c>
      <c r="AP29" s="521">
        <f>ROUND(Sources!$U$11,2)</f>
        <v>6.94</v>
      </c>
      <c r="AQ29" s="521">
        <f>ROUND(Sources!$U$11,2)</f>
        <v>6.94</v>
      </c>
      <c r="AR29" s="525">
        <f>ROUND(Sources!$U$11,2)</f>
        <v>6.94</v>
      </c>
      <c r="AS29" s="521">
        <f>ROUND(Sources!$U$11,2)</f>
        <v>6.94</v>
      </c>
      <c r="AT29" s="521">
        <f>ROUND(Sources!$U$11,2)</f>
        <v>6.94</v>
      </c>
      <c r="AU29" s="163">
        <v>1</v>
      </c>
      <c r="AV29" s="168">
        <v>1</v>
      </c>
      <c r="AW29" s="162">
        <v>100</v>
      </c>
      <c r="AX29" s="162"/>
      <c r="AY29" s="162"/>
      <c r="BA29" s="527">
        <f t="shared" si="10"/>
        <v>0</v>
      </c>
      <c r="BB29" s="527">
        <f t="shared" si="11"/>
        <v>0</v>
      </c>
      <c r="BC29" s="527">
        <f t="shared" si="12"/>
        <v>0</v>
      </c>
      <c r="BD29" s="528">
        <f t="shared" si="36"/>
        <v>0</v>
      </c>
      <c r="BE29" s="528">
        <f t="shared" si="36"/>
        <v>0</v>
      </c>
      <c r="BF29" s="528">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Residential Demand Heating Rural Multi -  - Low </v>
      </c>
      <c r="D30" s="127" t="str">
        <f>Commodities!$C$42&amp;","&amp;Commodities!$C$46&amp;","&amp;Commodities!$C$50&amp;","&amp;Commodities!$C$84&amp;","&amp;Commodities!C68</f>
        <v>COMHRMX,COMHRMB,COMHRMBE,COMHSAV,COMHRMSL</v>
      </c>
      <c r="E30" s="7" t="str">
        <f>Commodities!C10</f>
        <v>CHRMB</v>
      </c>
      <c r="F30" s="209"/>
      <c r="G30" s="209"/>
      <c r="H30" s="529" cm="1">
        <f t="array" ref="H30">ROUNDUP(INDEX(Dem!$F$41:$H$44,MATCH(Buildings_DR!$E30,Dem!$B$5:$B$8,0),MATCH(RIGHT(H$7,3),Dem!$F$1:$H$1,0))*_xlfn.IFS(RIGHT($D30,1)="H",$H$4,RIGHT($D30,1)="M",$H$3,RIGHT($D30,1)="L",$H$2),2)</f>
        <v>0</v>
      </c>
      <c r="I30" s="529" cm="1">
        <f t="array" ref="I30">ROUNDUP(INDEX(Dem!$F$41:$H$44,MATCH(Buildings_DR!$E30,Dem!$B$5:$B$8,0),MATCH(RIGHT(I$7,3),Dem!$F$1:$H$1,0))*_xlfn.IFS(RIGHT($D30,1)="H",$H$4,RIGHT($D30,1)="M",$H$3,RIGHT($D30,1)="L",$H$2),2)</f>
        <v>0</v>
      </c>
      <c r="J30" s="529" cm="1">
        <f t="array" ref="J30">ROUNDUP(INDEX(Dem!$F$41:$H$44,MATCH(Buildings_DR!$E30,Dem!$B$5:$B$8,0),MATCH(RIGHT(J$7,3),Dem!$F$1:$H$1,0))*_xlfn.IFS(RIGHT($D30,1)="H",$H$4,RIGHT($D30,1)="M",$H$3,RIGHT($D30,1)="L",$H$2),2)</f>
        <v>0</v>
      </c>
      <c r="K30" s="529" cm="1">
        <f t="array" ref="K30">ROUNDUP(INDEX(Dem!$F$45:$H$48,MATCH(Buildings_DR!$E30,Dem!$B$5:$B$8,0),MATCH(RIGHT(K$7,3),Dem!$F$1:$H$1,0))*_xlfn.IFS(RIGHT($D30,1)="H",$H$4,RIGHT($D30,1)="M",$H$3,RIGHT($D30,1)="L",$H$2),2)</f>
        <v>0</v>
      </c>
      <c r="L30" s="529" cm="1">
        <f t="array" ref="L30">ROUNDUP(INDEX(Dem!$F$45:$H$48,MATCH(Buildings_DR!$E30,Dem!$B$5:$B$8,0),MATCH(RIGHT(L$7,3),Dem!$F$1:$H$1,0))*_xlfn.IFS(RIGHT($D30,1)="H",$H$4,RIGHT($D30,1)="M",$H$3,RIGHT($D30,1)="L",$H$2),2)</f>
        <v>0</v>
      </c>
      <c r="M30" s="529" cm="1">
        <f t="array" ref="M30">ROUNDUP(INDEX(Dem!$F$45:$H$48,MATCH(Buildings_DR!$E30,Dem!$B$5:$B$8,0),MATCH(RIGHT(M$7,3),Dem!$F$1:$H$1,0))*_xlfn.IFS(RIGHT($D30,1)="H",$H$4,RIGHT($D30,1)="M",$H$3,RIGHT($D30,1)="L",$H$2),2)</f>
        <v>0</v>
      </c>
      <c r="N30" s="529" cm="1">
        <f t="array" ref="N30">ROUNDUP(INDEX(Dem!$F$49:$H$52,MATCH(Buildings_DR!$E30,Dem!$B$5:$B$8,0),MATCH(RIGHT(N$7,3),Dem!$F$1:$H$1,0))*_xlfn.IFS(RIGHT($D30,1)="H",$H$4,RIGHT($D30,1)="M",$H$3,RIGHT($D30,1)="L",$H$2),2)</f>
        <v>0</v>
      </c>
      <c r="O30" s="529" cm="1">
        <f t="array" ref="O30">ROUNDUP(INDEX(Dem!$F$49:$H$52,MATCH(Buildings_DR!$E30,Dem!$B$5:$B$8,0),MATCH(RIGHT(O$7,3),Dem!$F$1:$H$1,0))*_xlfn.IFS(RIGHT($D30,1)="H",$H$4,RIGHT($D30,1)="M",$H$3,RIGHT($D30,1)="L",$H$2),2)</f>
        <v>0</v>
      </c>
      <c r="P30" s="529" cm="1">
        <f t="array" ref="P30">ROUNDUP(INDEX(Dem!$F$49:$H$52,MATCH(Buildings_DR!$E30,Dem!$B$5:$B$8,0),MATCH(RIGHT(P$7,3),Dem!$F$1:$H$1,0))*_xlfn.IFS(RIGHT($D30,1)="H",$H$4,RIGHT($D30,1)="M",$H$3,RIGHT($D30,1)="L",$H$2),2)</f>
        <v>0</v>
      </c>
      <c r="Q30" s="529">
        <f t="shared" ref="Q30:S32" si="37">H30*0.6</f>
        <v>0</v>
      </c>
      <c r="R30" s="529">
        <f t="shared" si="37"/>
        <v>0</v>
      </c>
      <c r="S30" s="529">
        <f t="shared" si="37"/>
        <v>0</v>
      </c>
      <c r="T30" s="529">
        <f t="shared" ref="T30:AE30" si="38">H30*0.99</f>
        <v>0</v>
      </c>
      <c r="U30" s="529">
        <f t="shared" si="38"/>
        <v>0</v>
      </c>
      <c r="V30" s="529">
        <f t="shared" si="38"/>
        <v>0</v>
      </c>
      <c r="W30" s="529">
        <f t="shared" si="38"/>
        <v>0</v>
      </c>
      <c r="X30" s="529">
        <f t="shared" si="38"/>
        <v>0</v>
      </c>
      <c r="Y30" s="529">
        <f t="shared" si="38"/>
        <v>0</v>
      </c>
      <c r="Z30" s="529">
        <f t="shared" si="38"/>
        <v>0</v>
      </c>
      <c r="AA30" s="529">
        <f t="shared" si="38"/>
        <v>0</v>
      </c>
      <c r="AB30" s="529">
        <f t="shared" si="38"/>
        <v>0</v>
      </c>
      <c r="AC30" s="529">
        <f t="shared" si="38"/>
        <v>0</v>
      </c>
      <c r="AD30" s="529">
        <f t="shared" si="38"/>
        <v>0</v>
      </c>
      <c r="AE30" s="529">
        <f t="shared" si="38"/>
        <v>0</v>
      </c>
      <c r="AF30" s="529">
        <v>5</v>
      </c>
      <c r="AG30" s="529">
        <v>5</v>
      </c>
      <c r="AH30" s="529">
        <v>5</v>
      </c>
      <c r="AI30" s="520">
        <f t="shared" ref="AI30:AT30" si="39">AI31/2</f>
        <v>5.3250000000000002</v>
      </c>
      <c r="AJ30" s="519" t="e">
        <f t="shared" si="39"/>
        <v>#DIV/0!</v>
      </c>
      <c r="AK30" s="519" t="e">
        <f t="shared" si="39"/>
        <v>#DIV/0!</v>
      </c>
      <c r="AL30" s="520">
        <f t="shared" si="39"/>
        <v>5.1489199999999995</v>
      </c>
      <c r="AM30" s="519" t="e">
        <f t="shared" si="39"/>
        <v>#DIV/0!</v>
      </c>
      <c r="AN30" s="519" t="e">
        <f t="shared" si="39"/>
        <v>#DIV/0!</v>
      </c>
      <c r="AO30" s="520">
        <f t="shared" si="39"/>
        <v>4.9749999999999996</v>
      </c>
      <c r="AP30" s="519" t="e">
        <f t="shared" si="39"/>
        <v>#DIV/0!</v>
      </c>
      <c r="AQ30" s="519" t="e">
        <f t="shared" si="39"/>
        <v>#DIV/0!</v>
      </c>
      <c r="AR30" s="520">
        <f t="shared" si="39"/>
        <v>5.35</v>
      </c>
      <c r="AS30" s="519" t="e">
        <f t="shared" si="39"/>
        <v>#DIV/0!</v>
      </c>
      <c r="AT30" s="519" t="e">
        <f t="shared" si="39"/>
        <v>#DIV/0!</v>
      </c>
      <c r="AU30" s="210">
        <v>1</v>
      </c>
      <c r="AV30" s="208">
        <v>1</v>
      </c>
      <c r="AW30" s="160"/>
      <c r="AX30" s="162"/>
      <c r="AY30" s="162"/>
      <c r="AZ30" s="199"/>
      <c r="BA30" s="527">
        <f t="shared" si="10"/>
        <v>0</v>
      </c>
      <c r="BB30" s="527">
        <f t="shared" si="11"/>
        <v>0</v>
      </c>
      <c r="BC30" s="527">
        <f t="shared" si="12"/>
        <v>0</v>
      </c>
      <c r="BD30" s="528">
        <f t="shared" ref="BD30:BF36" si="40">BA30/AI30</f>
        <v>0</v>
      </c>
      <c r="BE30" s="528" t="e">
        <f t="shared" si="40"/>
        <v>#DIV/0!</v>
      </c>
      <c r="BF30" s="528"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Residential Demand Heating Rural Multi -  - Medium </v>
      </c>
      <c r="D31" s="127" t="str">
        <f>Commodities!$C$42&amp;","&amp;Commodities!$C$46&amp;","&amp;Commodities!$C$50&amp;","&amp;Commodities!$C$84&amp;","&amp;Commodities!C69</f>
        <v>COMHRMX,COMHRMB,COMHRMBE,COMHSAV,COMHRMSM</v>
      </c>
      <c r="E31" s="191" t="str">
        <f>E30</f>
        <v>CHRMB</v>
      </c>
      <c r="F31" s="191"/>
      <c r="G31" s="191"/>
      <c r="H31" s="529" cm="1">
        <f t="array" ref="H31">ROUNDUP(INDEX(Dem!$F$41:$H$44,MATCH(Buildings_DR!$E31,Dem!$B$5:$B$8,0),MATCH(RIGHT(H$7,3),Dem!$F$1:$H$1,0))*_xlfn.IFS(RIGHT($D31,1)="H",$H$4,RIGHT($D31,1)="M",$H$3,RIGHT($D31,1)="L",$H$2),2)</f>
        <v>75.62</v>
      </c>
      <c r="I31" s="529" cm="1">
        <f t="array" ref="I31">ROUNDUP(INDEX(Dem!$F$41:$H$44,MATCH(Buildings_DR!$E31,Dem!$B$5:$B$8,0),MATCH(RIGHT(I$7,3),Dem!$F$1:$H$1,0))*_xlfn.IFS(RIGHT($D31,1)="H",$H$4,RIGHT($D31,1)="M",$H$3,RIGHT($D31,1)="L",$H$2),2)</f>
        <v>0</v>
      </c>
      <c r="J31" s="529" cm="1">
        <f t="array" ref="J31">ROUNDUP(INDEX(Dem!$F$41:$H$44,MATCH(Buildings_DR!$E31,Dem!$B$5:$B$8,0),MATCH(RIGHT(J$7,3),Dem!$F$1:$H$1,0))*_xlfn.IFS(RIGHT($D31,1)="H",$H$4,RIGHT($D31,1)="M",$H$3,RIGHT($D31,1)="L",$H$2),2)</f>
        <v>0</v>
      </c>
      <c r="K31" s="529" cm="1">
        <f t="array" ref="K31">ROUNDUP(INDEX(Dem!$F$45:$H$48,MATCH(Buildings_DR!$E31,Dem!$B$5:$B$8,0),MATCH(RIGHT(K$7,3),Dem!$F$1:$H$1,0))*_xlfn.IFS(RIGHT($D31,1)="H",$H$4,RIGHT($D31,1)="M",$H$3,RIGHT($D31,1)="L",$H$2),2)</f>
        <v>78</v>
      </c>
      <c r="L31" s="529" cm="1">
        <f t="array" ref="L31">ROUNDUP(INDEX(Dem!$F$45:$H$48,MATCH(Buildings_DR!$E31,Dem!$B$5:$B$8,0),MATCH(RIGHT(L$7,3),Dem!$F$1:$H$1,0))*_xlfn.IFS(RIGHT($D31,1)="H",$H$4,RIGHT($D31,1)="M",$H$3,RIGHT($D31,1)="L",$H$2),2)</f>
        <v>0</v>
      </c>
      <c r="M31" s="529" cm="1">
        <f t="array" ref="M31">ROUNDUP(INDEX(Dem!$F$45:$H$48,MATCH(Buildings_DR!$E31,Dem!$B$5:$B$8,0),MATCH(RIGHT(M$7,3),Dem!$F$1:$H$1,0))*_xlfn.IFS(RIGHT($D31,1)="H",$H$4,RIGHT($D31,1)="M",$H$3,RIGHT($D31,1)="L",$H$2),2)</f>
        <v>0</v>
      </c>
      <c r="N31" s="529" cm="1">
        <f t="array" ref="N31">ROUNDUP(INDEX(Dem!$F$49:$H$52,MATCH(Buildings_DR!$E31,Dem!$B$5:$B$8,0),MATCH(RIGHT(N$7,3),Dem!$F$1:$H$1,0))*_xlfn.IFS(RIGHT($D31,1)="H",$H$4,RIGHT($D31,1)="M",$H$3,RIGHT($D31,1)="L",$H$2),2)</f>
        <v>79.17</v>
      </c>
      <c r="O31" s="529" cm="1">
        <f t="array" ref="O31">ROUNDUP(INDEX(Dem!$F$49:$H$52,MATCH(Buildings_DR!$E31,Dem!$B$5:$B$8,0),MATCH(RIGHT(O$7,3),Dem!$F$1:$H$1,0))*_xlfn.IFS(RIGHT($D31,1)="H",$H$4,RIGHT($D31,1)="M",$H$3,RIGHT($D31,1)="L",$H$2),2)</f>
        <v>0</v>
      </c>
      <c r="P31" s="529" cm="1">
        <f t="array" ref="P31">ROUNDUP(INDEX(Dem!$F$49:$H$52,MATCH(Buildings_DR!$E31,Dem!$B$5:$B$8,0),MATCH(RIGHT(P$7,3),Dem!$F$1:$H$1,0))*_xlfn.IFS(RIGHT($D31,1)="H",$H$4,RIGHT($D31,1)="M",$H$3,RIGHT($D31,1)="L",$H$2),2)</f>
        <v>0</v>
      </c>
      <c r="Q31" s="529">
        <f t="shared" si="37"/>
        <v>45.372</v>
      </c>
      <c r="R31" s="529">
        <f t="shared" si="37"/>
        <v>0</v>
      </c>
      <c r="S31" s="529">
        <f t="shared" si="37"/>
        <v>0</v>
      </c>
      <c r="T31" s="529">
        <f t="shared" ref="T31:AB31" si="41">H31*$K$2</f>
        <v>74.863799999999998</v>
      </c>
      <c r="U31" s="529">
        <f t="shared" si="41"/>
        <v>0</v>
      </c>
      <c r="V31" s="529">
        <f t="shared" si="41"/>
        <v>0</v>
      </c>
      <c r="W31" s="529">
        <f t="shared" si="41"/>
        <v>77.22</v>
      </c>
      <c r="X31" s="529">
        <f t="shared" si="41"/>
        <v>0</v>
      </c>
      <c r="Y31" s="529">
        <f t="shared" si="41"/>
        <v>0</v>
      </c>
      <c r="Z31" s="529">
        <f t="shared" si="41"/>
        <v>78.378299999999996</v>
      </c>
      <c r="AA31" s="529">
        <f t="shared" si="41"/>
        <v>0</v>
      </c>
      <c r="AB31" s="529">
        <f t="shared" si="41"/>
        <v>0</v>
      </c>
      <c r="AC31" s="529">
        <f>Q31*$K$3</f>
        <v>44.918280000000003</v>
      </c>
      <c r="AD31" s="529">
        <f>R31*$K$3</f>
        <v>0</v>
      </c>
      <c r="AE31" s="529">
        <f>S31*$K$3</f>
        <v>0</v>
      </c>
      <c r="AF31" s="529">
        <v>5</v>
      </c>
      <c r="AG31" s="529">
        <v>5</v>
      </c>
      <c r="AH31" s="529">
        <v>5</v>
      </c>
      <c r="AI31" s="520">
        <f>ROUNDUP(SUM(H30:H36)/SUM(Boilers_DR!AB39:AB49),2)</f>
        <v>10.65</v>
      </c>
      <c r="AJ31" s="520" t="e">
        <f>ROUNDUP(SUM(I30:I36)/SUM(Boilers_DR!AC39:AC49),2)</f>
        <v>#DIV/0!</v>
      </c>
      <c r="AK31" s="520" t="e">
        <f>ROUNDUP(SUM(J30:J36)/SUM(Boilers_DR!AD39:AD49),2)</f>
        <v>#DIV/0!</v>
      </c>
      <c r="AL31" s="520">
        <f>ROUNDUP(SUM(K30:K36)/SUM(Boilers_DR!AB80:AB89),2)*AL3</f>
        <v>10.297839999999999</v>
      </c>
      <c r="AM31" s="520" t="e">
        <f>ROUNDUP(SUM(L30:L36)/SUM(Boilers_DR!AC80:AC89),2)*AM3</f>
        <v>#DIV/0!</v>
      </c>
      <c r="AN31" s="520" t="e">
        <f>ROUNDUP(SUM(M30:M36)/SUM(Boilers_DR!AD80:AD89),2)*AN3</f>
        <v>#DIV/0!</v>
      </c>
      <c r="AO31" s="520">
        <f>ROUNDUP(SUM(N30:N36)/SUM(Boilers_DR!AB120:AB129),2)</f>
        <v>9.9499999999999993</v>
      </c>
      <c r="AP31" s="520" t="e">
        <f>ROUNDUP(SUM(O30:O36)/SUM(Boilers_DR!AC120:AC129),2)</f>
        <v>#DIV/0!</v>
      </c>
      <c r="AQ31" s="520" t="e">
        <f>ROUNDUP(SUM(P30:P36)/SUM(Boilers_DR!AD120:AD129),2)</f>
        <v>#DIV/0!</v>
      </c>
      <c r="AR31" s="520">
        <f>ROUNDUP(SUM(N30:N36)/SUM(Boilers_DR!AB160:AB169),2)</f>
        <v>10.7</v>
      </c>
      <c r="AS31" s="520" t="e">
        <f>ROUNDUP(SUM(O30:O36)/SUM(Boilers_DR!AC160:AC169),2)</f>
        <v>#DIV/0!</v>
      </c>
      <c r="AT31" s="520" t="e">
        <f>ROUNDUP(SUM(P30:P36)/SUM(Boilers_DR!AD160:AD169),2)</f>
        <v>#DIV/0!</v>
      </c>
      <c r="AU31" s="163">
        <v>1</v>
      </c>
      <c r="AV31" s="162">
        <v>1</v>
      </c>
      <c r="AW31" s="160"/>
      <c r="AX31" s="162"/>
      <c r="AY31" s="162"/>
      <c r="AZ31" s="199"/>
      <c r="BA31" s="527">
        <f t="shared" si="10"/>
        <v>75.62</v>
      </c>
      <c r="BB31" s="527">
        <f t="shared" si="11"/>
        <v>0</v>
      </c>
      <c r="BC31" s="527">
        <f t="shared" si="12"/>
        <v>0</v>
      </c>
      <c r="BD31" s="528">
        <f t="shared" si="40"/>
        <v>7.1004694835680757</v>
      </c>
      <c r="BE31" s="528" t="e">
        <f t="shared" si="40"/>
        <v>#DIV/0!</v>
      </c>
      <c r="BF31" s="528"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Residential Demand Heating Rural Multi -  - High </v>
      </c>
      <c r="D32" s="127" t="str">
        <f>Commodities!$C$42&amp;","&amp;Commodities!$C$46&amp;","&amp;Commodities!$C$50&amp;","&amp;Commodities!$C$84&amp;","&amp;Commodities!C70</f>
        <v>COMHRMX,COMHRMB,COMHRMBE,COMHSAV,COMHRMSH</v>
      </c>
      <c r="E32" s="191" t="str">
        <f>E31</f>
        <v>CHRMB</v>
      </c>
      <c r="F32" s="191"/>
      <c r="G32" s="191"/>
      <c r="H32" s="529" cm="1">
        <f t="array" ref="H32">ROUNDUP(INDEX(Dem!$F$41:$H$44,MATCH(Buildings_DR!$E32,Dem!$B$5:$B$8,0),MATCH(RIGHT(H$7,3),Dem!$F$1:$H$1,0))*_xlfn.IFS(RIGHT($D32,1)="H",$H$4,RIGHT($D32,1)="M",$H$3,RIGHT($D32,1)="L",$H$2),2)</f>
        <v>0</v>
      </c>
      <c r="I32" s="529" cm="1">
        <f t="array" ref="I32">ROUNDUP(INDEX(Dem!$F$41:$H$44,MATCH(Buildings_DR!$E32,Dem!$B$5:$B$8,0),MATCH(RIGHT(I$7,3),Dem!$F$1:$H$1,0))*_xlfn.IFS(RIGHT($D32,1)="H",$H$4,RIGHT($D32,1)="M",$H$3,RIGHT($D32,1)="L",$H$2),2)</f>
        <v>0</v>
      </c>
      <c r="J32" s="529" cm="1">
        <f t="array" ref="J32">ROUNDUP(INDEX(Dem!$F$41:$H$44,MATCH(Buildings_DR!$E32,Dem!$B$5:$B$8,0),MATCH(RIGHT(J$7,3),Dem!$F$1:$H$1,0))*_xlfn.IFS(RIGHT($D32,1)="H",$H$4,RIGHT($D32,1)="M",$H$3,RIGHT($D32,1)="L",$H$2),2)</f>
        <v>0</v>
      </c>
      <c r="K32" s="529" cm="1">
        <f t="array" ref="K32">ROUNDUP(INDEX(Dem!$F$45:$H$48,MATCH(Buildings_DR!$E32,Dem!$B$5:$B$8,0),MATCH(RIGHT(K$7,3),Dem!$F$1:$H$1,0))*_xlfn.IFS(RIGHT($D32,1)="H",$H$4,RIGHT($D32,1)="M",$H$3,RIGHT($D32,1)="L",$H$2),2)</f>
        <v>0</v>
      </c>
      <c r="L32" s="529" cm="1">
        <f t="array" ref="L32">ROUNDUP(INDEX(Dem!$F$45:$H$48,MATCH(Buildings_DR!$E32,Dem!$B$5:$B$8,0),MATCH(RIGHT(L$7,3),Dem!$F$1:$H$1,0))*_xlfn.IFS(RIGHT($D32,1)="H",$H$4,RIGHT($D32,1)="M",$H$3,RIGHT($D32,1)="L",$H$2),2)</f>
        <v>0</v>
      </c>
      <c r="M32" s="529" cm="1">
        <f t="array" ref="M32">ROUNDUP(INDEX(Dem!$F$45:$H$48,MATCH(Buildings_DR!$E32,Dem!$B$5:$B$8,0),MATCH(RIGHT(M$7,3),Dem!$F$1:$H$1,0))*_xlfn.IFS(RIGHT($D32,1)="H",$H$4,RIGHT($D32,1)="M",$H$3,RIGHT($D32,1)="L",$H$2),2)</f>
        <v>0</v>
      </c>
      <c r="N32" s="529" cm="1">
        <f t="array" ref="N32">ROUNDUP(INDEX(Dem!$F$49:$H$52,MATCH(Buildings_DR!$E32,Dem!$B$5:$B$8,0),MATCH(RIGHT(N$7,3),Dem!$F$1:$H$1,0))*_xlfn.IFS(RIGHT($D32,1)="H",$H$4,RIGHT($D32,1)="M",$H$3,RIGHT($D32,1)="L",$H$2),2)</f>
        <v>0</v>
      </c>
      <c r="O32" s="529" cm="1">
        <f t="array" ref="O32">ROUNDUP(INDEX(Dem!$F$49:$H$52,MATCH(Buildings_DR!$E32,Dem!$B$5:$B$8,0),MATCH(RIGHT(O$7,3),Dem!$F$1:$H$1,0))*_xlfn.IFS(RIGHT($D32,1)="H",$H$4,RIGHT($D32,1)="M",$H$3,RIGHT($D32,1)="L",$H$2),2)</f>
        <v>0</v>
      </c>
      <c r="P32" s="529" cm="1">
        <f t="array" ref="P32">ROUNDUP(INDEX(Dem!$F$49:$H$52,MATCH(Buildings_DR!$E32,Dem!$B$5:$B$8,0),MATCH(RIGHT(P$7,3),Dem!$F$1:$H$1,0))*_xlfn.IFS(RIGHT($D32,1)="H",$H$4,RIGHT($D32,1)="M",$H$3,RIGHT($D32,1)="L",$H$2),2)</f>
        <v>0</v>
      </c>
      <c r="Q32" s="529">
        <f t="shared" si="37"/>
        <v>0</v>
      </c>
      <c r="R32" s="529">
        <f t="shared" si="37"/>
        <v>0</v>
      </c>
      <c r="S32" s="529">
        <f t="shared" si="37"/>
        <v>0</v>
      </c>
      <c r="T32" s="529">
        <f t="shared" ref="T32:AE32" si="42">H32*0.99</f>
        <v>0</v>
      </c>
      <c r="U32" s="529">
        <f t="shared" si="42"/>
        <v>0</v>
      </c>
      <c r="V32" s="529">
        <f t="shared" si="42"/>
        <v>0</v>
      </c>
      <c r="W32" s="529">
        <f t="shared" si="42"/>
        <v>0</v>
      </c>
      <c r="X32" s="529">
        <f t="shared" si="42"/>
        <v>0</v>
      </c>
      <c r="Y32" s="529">
        <f t="shared" si="42"/>
        <v>0</v>
      </c>
      <c r="Z32" s="529">
        <f t="shared" si="42"/>
        <v>0</v>
      </c>
      <c r="AA32" s="529">
        <f t="shared" si="42"/>
        <v>0</v>
      </c>
      <c r="AB32" s="529">
        <f t="shared" si="42"/>
        <v>0</v>
      </c>
      <c r="AC32" s="529">
        <f t="shared" si="42"/>
        <v>0</v>
      </c>
      <c r="AD32" s="529">
        <f t="shared" si="42"/>
        <v>0</v>
      </c>
      <c r="AE32" s="529">
        <f t="shared" si="42"/>
        <v>0</v>
      </c>
      <c r="AF32" s="529">
        <v>5</v>
      </c>
      <c r="AG32" s="529">
        <v>5</v>
      </c>
      <c r="AH32" s="529">
        <v>5</v>
      </c>
      <c r="AI32" s="520">
        <f t="shared" ref="AI32:AQ32" si="43">AI31/2+AI33/2</f>
        <v>6.8950000000000005</v>
      </c>
      <c r="AJ32" s="520" t="e">
        <f t="shared" si="43"/>
        <v>#DIV/0!</v>
      </c>
      <c r="AK32" s="520" t="e">
        <f t="shared" si="43"/>
        <v>#DIV/0!</v>
      </c>
      <c r="AL32" s="520">
        <f t="shared" si="43"/>
        <v>6.7189199999999998</v>
      </c>
      <c r="AM32" s="520" t="e">
        <f t="shared" si="43"/>
        <v>#DIV/0!</v>
      </c>
      <c r="AN32" s="520" t="e">
        <f t="shared" si="43"/>
        <v>#DIV/0!</v>
      </c>
      <c r="AO32" s="520">
        <f t="shared" si="43"/>
        <v>6.5449999999999999</v>
      </c>
      <c r="AP32" s="520" t="e">
        <f t="shared" si="43"/>
        <v>#DIV/0!</v>
      </c>
      <c r="AQ32" s="520" t="e">
        <f t="shared" si="43"/>
        <v>#DIV/0!</v>
      </c>
      <c r="AR32" s="520">
        <f t="shared" ref="AR32:AT32" si="44">AR31/2+AR33/2</f>
        <v>6.92</v>
      </c>
      <c r="AS32" s="520" t="e">
        <f t="shared" si="44"/>
        <v>#DIV/0!</v>
      </c>
      <c r="AT32" s="520" t="e">
        <f t="shared" si="44"/>
        <v>#DIV/0!</v>
      </c>
      <c r="AU32" s="163">
        <v>1</v>
      </c>
      <c r="AV32" s="162">
        <v>1</v>
      </c>
      <c r="AW32" s="162"/>
      <c r="AX32" s="162"/>
      <c r="AY32" s="162"/>
      <c r="AZ32" s="199"/>
      <c r="BA32" s="527">
        <f t="shared" si="10"/>
        <v>0</v>
      </c>
      <c r="BB32" s="527">
        <f t="shared" si="11"/>
        <v>0</v>
      </c>
      <c r="BC32" s="527">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Residential Demand Heating Rural Multi -  - New </v>
      </c>
      <c r="D33" s="127" t="str">
        <f>Commodities!$C$42&amp;","&amp;Commodities!$C$46&amp;","&amp;Commodities!$C$54</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1">
        <f>ROUND(Sources!$U$8,2)</f>
        <v>3.14</v>
      </c>
      <c r="AJ33" s="521">
        <f>ROUND(Sources!$U$8,2)</f>
        <v>3.14</v>
      </c>
      <c r="AK33" s="521">
        <f>ROUND(Sources!$U$8,2)</f>
        <v>3.14</v>
      </c>
      <c r="AL33" s="521">
        <f>ROUND(Sources!$U$8,2)</f>
        <v>3.14</v>
      </c>
      <c r="AM33" s="521">
        <f>ROUND(Sources!$U$8,2)</f>
        <v>3.14</v>
      </c>
      <c r="AN33" s="521">
        <f>ROUND(Sources!$U$8,2)</f>
        <v>3.14</v>
      </c>
      <c r="AO33" s="521">
        <f>ROUND(Sources!$U$8,2)</f>
        <v>3.14</v>
      </c>
      <c r="AP33" s="521">
        <f>ROUND(Sources!$U$8,2)</f>
        <v>3.14</v>
      </c>
      <c r="AQ33" s="521">
        <f>ROUND(Sources!$U$8,2)</f>
        <v>3.14</v>
      </c>
      <c r="AR33" s="521">
        <f>ROUND(Sources!$U$8,2)</f>
        <v>3.14</v>
      </c>
      <c r="AS33" s="521">
        <f>ROUND(Sources!$U$8,2)</f>
        <v>3.14</v>
      </c>
      <c r="AT33" s="521">
        <f>ROUND(Sources!$U$8,2)</f>
        <v>3.14</v>
      </c>
      <c r="AU33" s="163">
        <v>1</v>
      </c>
      <c r="AV33" s="168">
        <v>1</v>
      </c>
      <c r="AW33" s="162">
        <v>100</v>
      </c>
      <c r="AX33" s="162"/>
      <c r="AY33" s="162"/>
      <c r="BA33" s="527">
        <f t="shared" si="10"/>
        <v>0</v>
      </c>
      <c r="BB33" s="527">
        <f t="shared" si="11"/>
        <v>0</v>
      </c>
      <c r="BC33" s="527">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3"/>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1">
        <f>ROUND(Sources!$U$9,2)</f>
        <v>3.69</v>
      </c>
      <c r="AJ34" s="521">
        <f>ROUND(Sources!$U$9,2)</f>
        <v>3.69</v>
      </c>
      <c r="AK34" s="521">
        <f>ROUND(Sources!$U$9,2)</f>
        <v>3.69</v>
      </c>
      <c r="AL34" s="521">
        <f>ROUND(Sources!$U$9,2)</f>
        <v>3.69</v>
      </c>
      <c r="AM34" s="521">
        <f>ROUND(Sources!$U$9,2)</f>
        <v>3.69</v>
      </c>
      <c r="AN34" s="521">
        <f>ROUND(Sources!$U$9,2)</f>
        <v>3.69</v>
      </c>
      <c r="AO34" s="521">
        <f>ROUND(Sources!$U$9,2)</f>
        <v>3.69</v>
      </c>
      <c r="AP34" s="521">
        <f>ROUND(Sources!$U$9,2)</f>
        <v>3.69</v>
      </c>
      <c r="AQ34" s="521">
        <f>ROUND(Sources!$U$9,2)</f>
        <v>3.69</v>
      </c>
      <c r="AR34" s="521">
        <f>ROUND(Sources!$U$9,2)</f>
        <v>3.69</v>
      </c>
      <c r="AS34" s="521">
        <f>ROUND(Sources!$U$9,2)</f>
        <v>3.69</v>
      </c>
      <c r="AT34" s="521">
        <f>ROUND(Sources!$U$9,2)</f>
        <v>3.69</v>
      </c>
      <c r="AU34" s="163">
        <v>1</v>
      </c>
      <c r="AV34" s="168">
        <v>1</v>
      </c>
      <c r="AW34" s="162">
        <v>100</v>
      </c>
      <c r="AX34" s="162"/>
      <c r="AY34" s="162"/>
      <c r="BA34" s="527">
        <f t="shared" si="10"/>
        <v>0</v>
      </c>
      <c r="BB34" s="527">
        <f t="shared" si="11"/>
        <v>0</v>
      </c>
      <c r="BC34" s="527">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3"/>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1">
        <f>ROUND(Sources!$U$10,2)</f>
        <v>6.08</v>
      </c>
      <c r="AJ35" s="521">
        <f>ROUND(Sources!$U$10,2)</f>
        <v>6.08</v>
      </c>
      <c r="AK35" s="521">
        <f>ROUND(Sources!$U$10,2)</f>
        <v>6.08</v>
      </c>
      <c r="AL35" s="521">
        <f>ROUND(Sources!$U$10,2)</f>
        <v>6.08</v>
      </c>
      <c r="AM35" s="521">
        <f>ROUND(Sources!$U$10,2)</f>
        <v>6.08</v>
      </c>
      <c r="AN35" s="521">
        <f>ROUND(Sources!$U$10,2)</f>
        <v>6.08</v>
      </c>
      <c r="AO35" s="521">
        <f>ROUND(Sources!$U$10,2)</f>
        <v>6.08</v>
      </c>
      <c r="AP35" s="521">
        <f>ROUND(Sources!$U$10,2)</f>
        <v>6.08</v>
      </c>
      <c r="AQ35" s="521">
        <f>ROUND(Sources!$U$10,2)</f>
        <v>6.08</v>
      </c>
      <c r="AR35" s="521">
        <f>ROUND(Sources!$U$10,2)</f>
        <v>6.08</v>
      </c>
      <c r="AS35" s="521">
        <f>ROUND(Sources!$U$10,2)</f>
        <v>6.08</v>
      </c>
      <c r="AT35" s="521">
        <f>ROUND(Sources!$U$10,2)</f>
        <v>6.08</v>
      </c>
      <c r="AU35" s="163">
        <v>1</v>
      </c>
      <c r="AV35" s="168">
        <v>1</v>
      </c>
      <c r="AW35" s="162">
        <v>100</v>
      </c>
      <c r="AX35" s="162"/>
      <c r="AY35" s="162"/>
      <c r="BA35" s="527">
        <f t="shared" si="10"/>
        <v>0</v>
      </c>
      <c r="BB35" s="527">
        <f t="shared" si="11"/>
        <v>0</v>
      </c>
      <c r="BC35" s="527">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4"/>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5">
        <f>ROUND(Sources!$U$11,2)</f>
        <v>6.94</v>
      </c>
      <c r="AJ36" s="525">
        <f>ROUND(Sources!$U$11,2)</f>
        <v>6.94</v>
      </c>
      <c r="AK36" s="525">
        <f>ROUND(Sources!$U$11,2)</f>
        <v>6.94</v>
      </c>
      <c r="AL36" s="525">
        <f>ROUND(Sources!$U$11,2)</f>
        <v>6.94</v>
      </c>
      <c r="AM36" s="525">
        <f>ROUND(Sources!$U$11,2)</f>
        <v>6.94</v>
      </c>
      <c r="AN36" s="525">
        <f>ROUND(Sources!$U$11,2)</f>
        <v>6.94</v>
      </c>
      <c r="AO36" s="525">
        <f>ROUND(Sources!$U$11,2)</f>
        <v>6.94</v>
      </c>
      <c r="AP36" s="525">
        <f>ROUND(Sources!$U$11,2)</f>
        <v>6.94</v>
      </c>
      <c r="AQ36" s="525">
        <f>ROUND(Sources!$U$11,2)</f>
        <v>6.94</v>
      </c>
      <c r="AR36" s="525">
        <f>ROUND(Sources!$U$11,2)</f>
        <v>6.94</v>
      </c>
      <c r="AS36" s="525">
        <f>ROUND(Sources!$U$11,2)</f>
        <v>6.94</v>
      </c>
      <c r="AT36" s="525">
        <f>ROUND(Sources!$U$11,2)</f>
        <v>6.94</v>
      </c>
      <c r="AU36" s="213">
        <v>1</v>
      </c>
      <c r="AV36" s="214">
        <v>1</v>
      </c>
      <c r="AW36" s="211">
        <v>100</v>
      </c>
      <c r="AX36" s="162"/>
      <c r="AY36" s="162"/>
      <c r="BA36" s="527">
        <f t="shared" si="10"/>
        <v>0</v>
      </c>
      <c r="BB36" s="527">
        <f t="shared" si="11"/>
        <v>0</v>
      </c>
      <c r="BC36" s="527">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3"/>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176</v>
      </c>
      <c r="BD37" s="289">
        <f>SUM(Boilers_DR!AB6:AB27)</f>
        <v>303.65566315988008</v>
      </c>
      <c r="BE37" s="289">
        <f>SUM(Boilers_DR!AC6:AC27)</f>
        <v>0</v>
      </c>
      <c r="BF37" s="289">
        <f>SUM(Boilers_DR!AD6:AD27)</f>
        <v>0</v>
      </c>
      <c r="BG37" s="287"/>
      <c r="BH37" s="201"/>
      <c r="BI37" s="201"/>
      <c r="BJ37" s="201"/>
      <c r="BK37" s="201"/>
      <c r="BL37" s="201"/>
      <c r="BM37" s="201"/>
      <c r="BN37" s="201"/>
      <c r="BO37" s="201"/>
      <c r="BP37" s="201"/>
      <c r="BQ37" s="201"/>
      <c r="BR37" s="201"/>
    </row>
    <row r="38" spans="2:72" ht="13">
      <c r="B38" s="162"/>
      <c r="C38" s="162"/>
      <c r="D38" s="553"/>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104.27892255876155</v>
      </c>
      <c r="BE38" s="289">
        <f>SUM(Boilers_DR!AC28:AC49)</f>
        <v>0</v>
      </c>
      <c r="BF38" s="289">
        <f>SUM(Boilers_DR!AD28:AD49)</f>
        <v>0</v>
      </c>
      <c r="BG38" s="288"/>
      <c r="BH38" s="201"/>
      <c r="BI38" s="201"/>
      <c r="BJ38" s="201"/>
      <c r="BK38" s="201"/>
      <c r="BL38" s="201"/>
      <c r="BM38" s="201"/>
      <c r="BN38" s="201"/>
      <c r="BO38" s="201"/>
      <c r="BP38" s="201"/>
      <c r="BQ38" s="201"/>
      <c r="BR38" s="201"/>
    </row>
    <row r="39" spans="2:72" ht="13">
      <c r="B39" s="162"/>
      <c r="C39" s="162"/>
      <c r="D39" s="553"/>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175</v>
      </c>
      <c r="BA39"/>
      <c r="BB39"/>
      <c r="BC39"/>
      <c r="BD39" s="283">
        <f>SUM(BD9:BD22)</f>
        <v>303.35950910306701</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3"/>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104.22470395425923</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3"/>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0.29615405681306584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3"/>
      <c r="E42" s="191"/>
      <c r="F42" s="191"/>
      <c r="G42" s="191"/>
      <c r="AC42" s="156"/>
      <c r="AD42" s="156"/>
      <c r="AE42" s="156"/>
      <c r="AF42" s="156"/>
      <c r="AG42" s="156"/>
      <c r="AH42" s="156"/>
      <c r="AN42" s="155"/>
      <c r="AO42" s="155"/>
      <c r="AP42" s="155"/>
      <c r="AQ42" s="155"/>
      <c r="AR42" s="155"/>
      <c r="AS42" s="155"/>
      <c r="AT42" s="155"/>
      <c r="AU42" s="190"/>
      <c r="AV42" s="190"/>
      <c r="BD42" s="221">
        <f t="shared" si="45"/>
        <v>5.4218604502324297E-2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4"/>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0"/>
      <c r="AJ43" s="470"/>
      <c r="AK43" s="471"/>
      <c r="AL43" s="470"/>
      <c r="AM43" s="470"/>
      <c r="AN43" s="471"/>
      <c r="AO43" s="470"/>
      <c r="AP43" s="470"/>
      <c r="AQ43" s="471"/>
      <c r="AR43" s="470"/>
      <c r="AS43" s="470"/>
      <c r="AT43" s="471"/>
      <c r="BD43" s="472"/>
      <c r="BE43" s="472"/>
      <c r="BF43" s="472"/>
      <c r="BG43" s="473"/>
      <c r="BH43" s="473"/>
      <c r="BI43" s="473"/>
      <c r="BJ43" s="473"/>
      <c r="BK43" s="473"/>
      <c r="BL43" s="473"/>
      <c r="BM43" s="473"/>
      <c r="BN43" s="473"/>
      <c r="BO43" s="473"/>
      <c r="BP43" s="473"/>
    </row>
    <row r="44" spans="2:72" ht="14">
      <c r="B44" s="162"/>
      <c r="D44" s="555"/>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56"/>
      <c r="E45" s="154"/>
      <c r="F45" s="154"/>
      <c r="G45" s="154" t="s">
        <v>725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56"/>
      <c r="E46" s="154"/>
      <c r="F46" s="154"/>
      <c r="G46" s="154" t="s">
        <v>726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9" t="s">
        <v>738</v>
      </c>
      <c r="D47" s="556"/>
      <c r="E47" s="154"/>
      <c r="F47" s="154"/>
      <c r="G47" s="154" t="s">
        <v>727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56"/>
      <c r="E48" s="154"/>
      <c r="F48" s="154"/>
      <c r="G48" s="154" t="s">
        <v>728</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57"/>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57"/>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58"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7" t="str">
        <f>H51&amp;"~2100"</f>
        <v>STOCK~DE1~2100</v>
      </c>
      <c r="R51" s="567" t="str">
        <f>I51&amp;"~2100"</f>
        <v>STOCK~DE2~2100</v>
      </c>
      <c r="S51" s="567" t="str">
        <f>J51&amp;"~2100"</f>
        <v>STOCK~DE3~2100</v>
      </c>
      <c r="T51" s="567" t="s">
        <v>947</v>
      </c>
      <c r="U51" s="567" t="s">
        <v>960</v>
      </c>
      <c r="V51" s="567" t="s">
        <v>977</v>
      </c>
      <c r="W51" s="567" t="str">
        <f t="shared" ref="W51:AB51" si="49">W7</f>
        <v>ACTBND~LO~DE1~2015</v>
      </c>
      <c r="X51" s="567" t="str">
        <f t="shared" si="49"/>
        <v>ACTBND~LO~DE2~2015</v>
      </c>
      <c r="Y51" s="567" t="str">
        <f t="shared" si="49"/>
        <v>ACTBND~LO~DE3~2015</v>
      </c>
      <c r="Z51" s="567" t="str">
        <f t="shared" si="49"/>
        <v>ACTBND~LO~DE1~2017</v>
      </c>
      <c r="AA51" s="567" t="str">
        <f t="shared" si="49"/>
        <v>ACTBND~LO~DE2~2017</v>
      </c>
      <c r="AB51" s="567" t="str">
        <f t="shared" si="49"/>
        <v>ACTBND~LO~DE3~2017</v>
      </c>
      <c r="AC51" s="567" t="s">
        <v>950</v>
      </c>
      <c r="AD51" s="567" t="s">
        <v>963</v>
      </c>
      <c r="AE51" s="567" t="s">
        <v>980</v>
      </c>
      <c r="AF51" s="567" t="s">
        <v>951</v>
      </c>
      <c r="AG51" s="567" t="s">
        <v>964</v>
      </c>
      <c r="AH51" s="567" t="s">
        <v>981</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165</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123</v>
      </c>
      <c r="D52" s="559"/>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Residential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9">
        <f t="shared" ref="Q53:S55" si="60">H53*0.6</f>
        <v>0</v>
      </c>
      <c r="R53" s="529">
        <f t="shared" si="60"/>
        <v>0</v>
      </c>
      <c r="S53" s="529">
        <f t="shared" si="60"/>
        <v>0</v>
      </c>
      <c r="T53" s="529">
        <f t="shared" ref="T53:V55" si="61">H53*0.99</f>
        <v>0</v>
      </c>
      <c r="U53" s="529">
        <f t="shared" si="61"/>
        <v>0</v>
      </c>
      <c r="V53" s="529">
        <f t="shared" si="61"/>
        <v>0</v>
      </c>
      <c r="W53" s="529">
        <f t="shared" ref="W53:W55" si="62">K53*0.99</f>
        <v>0</v>
      </c>
      <c r="X53" s="529">
        <f t="shared" ref="X53:X55" si="63">L53*0.99</f>
        <v>0</v>
      </c>
      <c r="Y53" s="529">
        <f t="shared" ref="Y53:Y55" si="64">M53*0.99</f>
        <v>0</v>
      </c>
      <c r="Z53" s="529">
        <f t="shared" ref="Z53" si="65">N53*0.99</f>
        <v>0</v>
      </c>
      <c r="AA53" s="529">
        <f t="shared" ref="AA53:AA55" si="66">O53*0.99</f>
        <v>0</v>
      </c>
      <c r="AB53" s="529">
        <f t="shared" ref="AB53:AB55" si="67">P53*0.99</f>
        <v>0</v>
      </c>
      <c r="AC53" s="529">
        <f t="shared" ref="AC53:AH55" si="68">Q53*0.99</f>
        <v>0</v>
      </c>
      <c r="AD53" s="529">
        <f t="shared" si="68"/>
        <v>0</v>
      </c>
      <c r="AE53" s="529">
        <f t="shared" si="68"/>
        <v>0</v>
      </c>
      <c r="AF53" s="529">
        <f t="shared" si="68"/>
        <v>0</v>
      </c>
      <c r="AG53" s="529">
        <f t="shared" si="68"/>
        <v>0</v>
      </c>
      <c r="AH53" s="529">
        <f t="shared" si="68"/>
        <v>0</v>
      </c>
      <c r="AI53" s="522" t="e">
        <f t="shared" ref="AI53:AT53" si="69">AI54/2</f>
        <v>#DIV/0!</v>
      </c>
      <c r="AJ53" s="522" t="e">
        <f t="shared" si="69"/>
        <v>#DIV/0!</v>
      </c>
      <c r="AK53" s="522" t="e">
        <f t="shared" si="69"/>
        <v>#DIV/0!</v>
      </c>
      <c r="AL53" s="522">
        <f>AL54/2</f>
        <v>343.16149999999999</v>
      </c>
      <c r="AM53" s="522" t="e">
        <f t="shared" si="69"/>
        <v>#DIV/0!</v>
      </c>
      <c r="AN53" s="522" t="e">
        <f t="shared" si="69"/>
        <v>#DIV/0!</v>
      </c>
      <c r="AO53" s="522">
        <f>AO54/2</f>
        <v>367.26849999999996</v>
      </c>
      <c r="AP53" s="522" t="e">
        <f t="shared" si="69"/>
        <v>#DIV/0!</v>
      </c>
      <c r="AQ53" s="522" t="e">
        <f t="shared" si="69"/>
        <v>#DIV/0!</v>
      </c>
      <c r="AR53" s="522">
        <f>AR54/2</f>
        <v>367.26849999999996</v>
      </c>
      <c r="AS53" s="522" t="e">
        <f t="shared" si="69"/>
        <v>#DIV/0!</v>
      </c>
      <c r="AT53" s="522"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t="e">
        <f t="shared" ref="BD53:BF55" si="73">BA53/AI53</f>
        <v>#DIV/0!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Residential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904.63</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933.1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947.09</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9">
        <f t="shared" si="60"/>
        <v>542.77800000000002</v>
      </c>
      <c r="R54" s="529">
        <f t="shared" si="60"/>
        <v>0</v>
      </c>
      <c r="S54" s="529">
        <f t="shared" si="60"/>
        <v>0</v>
      </c>
      <c r="T54" s="529">
        <f t="shared" si="61"/>
        <v>895.58370000000002</v>
      </c>
      <c r="U54" s="529">
        <f t="shared" si="61"/>
        <v>0</v>
      </c>
      <c r="V54" s="529">
        <f t="shared" si="61"/>
        <v>0</v>
      </c>
      <c r="W54" s="529">
        <f>K54*0.99</f>
        <v>923.76900000000001</v>
      </c>
      <c r="X54" s="529">
        <f t="shared" si="63"/>
        <v>0</v>
      </c>
      <c r="Y54" s="529">
        <f t="shared" si="64"/>
        <v>0</v>
      </c>
      <c r="Z54" s="529">
        <f>N54*0.99</f>
        <v>937.6191</v>
      </c>
      <c r="AA54" s="529">
        <f t="shared" si="66"/>
        <v>0</v>
      </c>
      <c r="AB54" s="529">
        <f t="shared" si="67"/>
        <v>0</v>
      </c>
      <c r="AC54" s="529">
        <f t="shared" si="68"/>
        <v>537.35022000000004</v>
      </c>
      <c r="AD54" s="529">
        <f t="shared" si="68"/>
        <v>0</v>
      </c>
      <c r="AE54" s="529">
        <f t="shared" si="68"/>
        <v>0</v>
      </c>
      <c r="AF54" s="529">
        <f t="shared" si="68"/>
        <v>886.62786300000005</v>
      </c>
      <c r="AG54" s="529">
        <f t="shared" si="68"/>
        <v>0</v>
      </c>
      <c r="AH54" s="529">
        <f t="shared" si="68"/>
        <v>0</v>
      </c>
      <c r="AI54" s="523" t="e">
        <f>ROUNDUP(SUM(H53:H59)/Cooling!AA7,3)</f>
        <v>#DIV/0!</v>
      </c>
      <c r="AJ54" s="523" t="e">
        <f>ROUNDUP(SUM(I53:I59)/Cooling!AB7,3)</f>
        <v>#DIV/0!</v>
      </c>
      <c r="AK54" s="523" t="e">
        <f>ROUNDUP(SUM(J53:J59)/Cooling!AC7,3)</f>
        <v>#DIV/0!</v>
      </c>
      <c r="AL54" s="523">
        <f>ROUNDUP(SUM(K53:K59)/Cooling!AA11,3)</f>
        <v>686.32299999999998</v>
      </c>
      <c r="AM54" s="523" t="e">
        <f>ROUNDUP(SUM(L53:L59)/Cooling!AB11,3)</f>
        <v>#DIV/0!</v>
      </c>
      <c r="AN54" s="523" t="e">
        <f>ROUNDUP(SUM(M53:M59)/Cooling!AC11,3)</f>
        <v>#DIV/0!</v>
      </c>
      <c r="AO54" s="523">
        <f>ROUNDUP(SUM(N53:N59)/Cooling!AA15,3)</f>
        <v>734.53699999999992</v>
      </c>
      <c r="AP54" s="523" t="e">
        <f>ROUNDUP(SUM(O53:O59)/Cooling!AB15,3)</f>
        <v>#DIV/0!</v>
      </c>
      <c r="AQ54" s="523" t="e">
        <f>ROUNDUP(SUM(P53:P59)/Cooling!AC15,3)</f>
        <v>#DIV/0!</v>
      </c>
      <c r="AR54" s="523">
        <f>AO54</f>
        <v>734.53699999999992</v>
      </c>
      <c r="AS54" s="523" t="e">
        <f>AP54</f>
        <v>#DIV/0!</v>
      </c>
      <c r="AT54" s="523" t="e">
        <f>AQ54</f>
        <v>#DIV/0!</v>
      </c>
      <c r="AU54" s="163">
        <v>1</v>
      </c>
      <c r="AV54" s="162">
        <v>1</v>
      </c>
      <c r="AW54" s="160"/>
      <c r="AX54" s="162"/>
      <c r="AY54" s="162"/>
      <c r="AZ54" s="199"/>
      <c r="BA54" s="202">
        <f t="shared" si="70"/>
        <v>904.63</v>
      </c>
      <c r="BB54" s="202">
        <f t="shared" si="71"/>
        <v>0</v>
      </c>
      <c r="BC54" s="202">
        <f t="shared" si="72"/>
        <v>0</v>
      </c>
      <c r="BD54" s="203" t="e">
        <f t="shared" si="73"/>
        <v>#DIV/0!</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Residential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9">
        <f t="shared" si="60"/>
        <v>0</v>
      </c>
      <c r="R55" s="529">
        <f t="shared" si="60"/>
        <v>0</v>
      </c>
      <c r="S55" s="529">
        <f t="shared" si="60"/>
        <v>0</v>
      </c>
      <c r="T55" s="529">
        <f t="shared" si="61"/>
        <v>0</v>
      </c>
      <c r="U55" s="529">
        <f t="shared" si="61"/>
        <v>0</v>
      </c>
      <c r="V55" s="529">
        <f t="shared" si="61"/>
        <v>0</v>
      </c>
      <c r="W55" s="529">
        <f t="shared" si="62"/>
        <v>0</v>
      </c>
      <c r="X55" s="529">
        <f t="shared" si="63"/>
        <v>0</v>
      </c>
      <c r="Y55" s="529">
        <f t="shared" si="64"/>
        <v>0</v>
      </c>
      <c r="Z55" s="529">
        <f t="shared" ref="Z55" si="74">N55*0.99</f>
        <v>0</v>
      </c>
      <c r="AA55" s="529">
        <f t="shared" si="66"/>
        <v>0</v>
      </c>
      <c r="AB55" s="529">
        <f t="shared" si="67"/>
        <v>0</v>
      </c>
      <c r="AC55" s="529">
        <f t="shared" si="68"/>
        <v>0</v>
      </c>
      <c r="AD55" s="529">
        <f t="shared" si="68"/>
        <v>0</v>
      </c>
      <c r="AE55" s="529">
        <f t="shared" si="68"/>
        <v>0</v>
      </c>
      <c r="AF55" s="529">
        <f t="shared" si="68"/>
        <v>0</v>
      </c>
      <c r="AG55" s="529">
        <f t="shared" si="68"/>
        <v>0</v>
      </c>
      <c r="AH55" s="529">
        <f t="shared" si="68"/>
        <v>0</v>
      </c>
      <c r="AI55" s="523" t="e">
        <f t="shared" ref="AI55:AQ55" si="75">AI54/2+AI56/2</f>
        <v>#DIV/0!</v>
      </c>
      <c r="AJ55" s="523" t="e">
        <f t="shared" si="75"/>
        <v>#DIV/0!</v>
      </c>
      <c r="AK55" s="523" t="e">
        <f t="shared" si="75"/>
        <v>#DIV/0!</v>
      </c>
      <c r="AL55" s="523" t="e">
        <f t="shared" si="75"/>
        <v>#DIV/0!</v>
      </c>
      <c r="AM55" s="523" t="e">
        <f t="shared" si="75"/>
        <v>#DIV/0!</v>
      </c>
      <c r="AN55" s="523" t="e">
        <f t="shared" si="75"/>
        <v>#DIV/0!</v>
      </c>
      <c r="AO55" s="523" t="e">
        <f t="shared" si="75"/>
        <v>#DIV/0!</v>
      </c>
      <c r="AP55" s="523" t="e">
        <f t="shared" si="75"/>
        <v>#DIV/0!</v>
      </c>
      <c r="AQ55" s="523" t="e">
        <f t="shared" si="75"/>
        <v>#DIV/0!</v>
      </c>
      <c r="AR55" s="523" t="e">
        <f t="shared" ref="AR55:AT55" si="76">AR54/2+AR56/2</f>
        <v>#DIV/0!</v>
      </c>
      <c r="AS55" s="523" t="e">
        <f t="shared" si="76"/>
        <v>#DIV/0!</v>
      </c>
      <c r="AT55" s="523" t="e">
        <f t="shared" si="76"/>
        <v>#DIV/0!</v>
      </c>
      <c r="AU55" s="163">
        <v>1</v>
      </c>
      <c r="AV55" s="162">
        <v>1</v>
      </c>
      <c r="AW55" s="162"/>
      <c r="AX55" s="162"/>
      <c r="AY55" s="162"/>
      <c r="AZ55" s="199"/>
      <c r="BA55" s="202">
        <f t="shared" si="70"/>
        <v>0</v>
      </c>
      <c r="BB55" s="202">
        <f t="shared" si="71"/>
        <v>0</v>
      </c>
      <c r="BC55" s="202">
        <f t="shared" si="72"/>
        <v>0</v>
      </c>
      <c r="BD55" s="203" t="e">
        <f t="shared" si="73"/>
        <v>#DIV/0!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Residential Demand Cooling Urban Detached -  - New </v>
      </c>
      <c r="D56" s="133" t="str">
        <f>Commodities!$C$55</f>
        <v>COMCUDB</v>
      </c>
      <c r="E56" s="191" t="str">
        <f>E55</f>
        <v>CCUDB</v>
      </c>
      <c r="F56" s="156">
        <v>2011</v>
      </c>
      <c r="G56" s="191">
        <v>2011</v>
      </c>
      <c r="H56" s="49"/>
      <c r="I56" s="49"/>
      <c r="J56" s="49"/>
      <c r="K56" s="49"/>
      <c r="L56" s="49"/>
      <c r="M56" s="49"/>
      <c r="N56" s="49"/>
      <c r="O56" s="49"/>
      <c r="P56" s="49"/>
      <c r="Q56" s="529"/>
      <c r="R56" s="529"/>
      <c r="S56" s="529"/>
      <c r="T56" s="529"/>
      <c r="U56" s="529"/>
      <c r="V56" s="529"/>
      <c r="W56" s="529"/>
      <c r="X56" s="529"/>
      <c r="Y56" s="529"/>
      <c r="Z56" s="529"/>
      <c r="AA56" s="529"/>
      <c r="AB56" s="529"/>
      <c r="AC56" s="529"/>
      <c r="AD56" s="529"/>
      <c r="AE56" s="529"/>
      <c r="AF56" s="529"/>
      <c r="AG56" s="529"/>
      <c r="AH56" s="529"/>
      <c r="AI56" s="524" t="e">
        <f t="shared" ref="AI56:AQ56" si="77">$AI$54*AI12/$AI$10</f>
        <v>#DIV/0!</v>
      </c>
      <c r="AJ56" s="524" t="e">
        <f t="shared" si="77"/>
        <v>#DIV/0!</v>
      </c>
      <c r="AK56" s="524" t="e">
        <f t="shared" si="77"/>
        <v>#DIV/0!</v>
      </c>
      <c r="AL56" s="524" t="e">
        <f t="shared" si="77"/>
        <v>#DIV/0!</v>
      </c>
      <c r="AM56" s="524" t="e">
        <f t="shared" si="77"/>
        <v>#DIV/0!</v>
      </c>
      <c r="AN56" s="524" t="e">
        <f t="shared" si="77"/>
        <v>#DIV/0!</v>
      </c>
      <c r="AO56" s="524" t="e">
        <f t="shared" si="77"/>
        <v>#DIV/0!</v>
      </c>
      <c r="AP56" s="524" t="e">
        <f t="shared" si="77"/>
        <v>#DIV/0!</v>
      </c>
      <c r="AQ56" s="524" t="e">
        <f t="shared" si="77"/>
        <v>#DIV/0!</v>
      </c>
      <c r="AR56" s="524" t="e">
        <f t="shared" ref="AR56:AT56" si="78">$AI$54*AR12/$AI$10</f>
        <v>#DIV/0!</v>
      </c>
      <c r="AS56" s="524" t="e">
        <f t="shared" si="78"/>
        <v>#DIV/0!</v>
      </c>
      <c r="AT56" s="524" t="e">
        <f t="shared" si="78"/>
        <v>#DIV/0!</v>
      </c>
      <c r="AU56" s="163">
        <v>1</v>
      </c>
      <c r="AV56" s="168">
        <v>1</v>
      </c>
      <c r="AW56" s="162">
        <v>100</v>
      </c>
      <c r="AX56" s="162"/>
      <c r="BA56" s="202">
        <f t="shared" si="70"/>
        <v>0</v>
      </c>
      <c r="BB56" s="202">
        <f t="shared" si="71"/>
        <v>0</v>
      </c>
      <c r="BC56" s="202">
        <f t="shared" si="72"/>
        <v>0</v>
      </c>
      <c r="BD56" s="203" t="e">
        <f t="shared" ref="BD56:BF59" si="79">BA56/AI70</f>
        <v>#DIV/0!</v>
      </c>
      <c r="BE56" s="203" t="e">
        <f t="shared" si="79"/>
        <v>#DIV/0!</v>
      </c>
      <c r="BF56" s="203" t="e">
        <f t="shared" si="79"/>
        <v>#DIV/0!</v>
      </c>
      <c r="BH56" s="201"/>
      <c r="BI56" s="201"/>
      <c r="BJ56" s="201"/>
      <c r="BK56" s="201"/>
      <c r="BL56" s="201"/>
      <c r="BM56" s="201"/>
      <c r="BN56" s="201"/>
      <c r="BO56" s="201"/>
      <c r="BP56" s="201"/>
      <c r="BQ56" s="201"/>
      <c r="BR56" s="201"/>
    </row>
    <row r="57" spans="1:70">
      <c r="B57" s="162"/>
      <c r="C57" s="162"/>
      <c r="D57" s="553"/>
      <c r="E57" s="191"/>
      <c r="F57" s="156">
        <v>2016</v>
      </c>
      <c r="H57" s="49"/>
      <c r="I57" s="49"/>
      <c r="J57" s="49"/>
      <c r="K57" s="49"/>
      <c r="L57" s="49"/>
      <c r="M57" s="49"/>
      <c r="N57" s="49"/>
      <c r="O57" s="49"/>
      <c r="P57" s="49"/>
      <c r="Q57" s="529"/>
      <c r="R57" s="529"/>
      <c r="S57" s="529"/>
      <c r="T57" s="529"/>
      <c r="U57" s="529"/>
      <c r="V57" s="529"/>
      <c r="W57" s="529"/>
      <c r="X57" s="529"/>
      <c r="Y57" s="529"/>
      <c r="Z57" s="529"/>
      <c r="AA57" s="529"/>
      <c r="AB57" s="529"/>
      <c r="AC57" s="529"/>
      <c r="AD57" s="529"/>
      <c r="AE57" s="529"/>
      <c r="AF57" s="529"/>
      <c r="AG57" s="529"/>
      <c r="AH57" s="529"/>
      <c r="AI57" s="524" t="e">
        <f t="shared" ref="AI57:AQ57" si="80">$AI$54*AI13/$AI$10</f>
        <v>#DIV/0!</v>
      </c>
      <c r="AJ57" s="524" t="e">
        <f t="shared" si="80"/>
        <v>#DIV/0!</v>
      </c>
      <c r="AK57" s="524" t="e">
        <f t="shared" si="80"/>
        <v>#DIV/0!</v>
      </c>
      <c r="AL57" s="524" t="e">
        <f t="shared" si="80"/>
        <v>#DIV/0!</v>
      </c>
      <c r="AM57" s="524" t="e">
        <f t="shared" si="80"/>
        <v>#DIV/0!</v>
      </c>
      <c r="AN57" s="524" t="e">
        <f t="shared" si="80"/>
        <v>#DIV/0!</v>
      </c>
      <c r="AO57" s="524" t="e">
        <f t="shared" si="80"/>
        <v>#DIV/0!</v>
      </c>
      <c r="AP57" s="524" t="e">
        <f t="shared" si="80"/>
        <v>#DIV/0!</v>
      </c>
      <c r="AQ57" s="524" t="e">
        <f t="shared" si="80"/>
        <v>#DIV/0!</v>
      </c>
      <c r="AR57" s="524" t="e">
        <f t="shared" ref="AR57:AT57" si="81">$AI$54*AR13/$AI$10</f>
        <v>#DIV/0!</v>
      </c>
      <c r="AS57" s="524" t="e">
        <f t="shared" si="81"/>
        <v>#DIV/0!</v>
      </c>
      <c r="AT57" s="524" t="e">
        <f t="shared" si="81"/>
        <v>#DIV/0!</v>
      </c>
      <c r="AU57" s="163">
        <v>1</v>
      </c>
      <c r="AV57" s="168">
        <v>1</v>
      </c>
      <c r="AW57" s="162">
        <v>100</v>
      </c>
      <c r="AX57" s="162"/>
      <c r="BA57" s="202">
        <f t="shared" si="70"/>
        <v>0</v>
      </c>
      <c r="BB57" s="202">
        <f t="shared" si="71"/>
        <v>0</v>
      </c>
      <c r="BC57" s="202">
        <f t="shared" si="72"/>
        <v>0</v>
      </c>
      <c r="BD57" s="203" t="e">
        <f t="shared" si="79"/>
        <v>#DIV/0!</v>
      </c>
      <c r="BE57" s="203" t="e">
        <f t="shared" si="79"/>
        <v>#DIV/0!</v>
      </c>
      <c r="BF57" s="203" t="e">
        <f t="shared" si="79"/>
        <v>#DIV/0!</v>
      </c>
      <c r="BH57" s="201"/>
      <c r="BI57" s="201"/>
      <c r="BJ57" s="201"/>
      <c r="BK57" s="201"/>
      <c r="BL57" s="201"/>
      <c r="BM57" s="201"/>
      <c r="BN57" s="201"/>
      <c r="BO57" s="201"/>
      <c r="BP57" s="201"/>
      <c r="BQ57" s="201"/>
      <c r="BR57" s="201"/>
    </row>
    <row r="58" spans="1:70">
      <c r="B58" s="162"/>
      <c r="C58" s="162"/>
      <c r="D58" s="553"/>
      <c r="E58" s="191"/>
      <c r="F58" s="156">
        <v>2021</v>
      </c>
      <c r="H58" s="49"/>
      <c r="I58" s="49"/>
      <c r="J58" s="49"/>
      <c r="K58" s="49"/>
      <c r="L58" s="49"/>
      <c r="M58" s="49"/>
      <c r="N58" s="49"/>
      <c r="O58" s="49"/>
      <c r="P58" s="49"/>
      <c r="Q58" s="529"/>
      <c r="R58" s="529"/>
      <c r="S58" s="529"/>
      <c r="T58" s="529"/>
      <c r="U58" s="529"/>
      <c r="V58" s="529"/>
      <c r="W58" s="529"/>
      <c r="X58" s="529"/>
      <c r="Y58" s="529"/>
      <c r="Z58" s="529"/>
      <c r="AA58" s="529"/>
      <c r="AB58" s="529"/>
      <c r="AC58" s="529"/>
      <c r="AD58" s="529"/>
      <c r="AE58" s="529"/>
      <c r="AF58" s="529"/>
      <c r="AG58" s="529"/>
      <c r="AH58" s="529"/>
      <c r="AI58" s="524" t="e">
        <f t="shared" ref="AI58:AQ58" si="82">$AI$54*AI14/$AI$10</f>
        <v>#DIV/0!</v>
      </c>
      <c r="AJ58" s="524" t="e">
        <f t="shared" si="82"/>
        <v>#DIV/0!</v>
      </c>
      <c r="AK58" s="524" t="e">
        <f t="shared" si="82"/>
        <v>#DIV/0!</v>
      </c>
      <c r="AL58" s="524" t="e">
        <f t="shared" si="82"/>
        <v>#DIV/0!</v>
      </c>
      <c r="AM58" s="524" t="e">
        <f t="shared" si="82"/>
        <v>#DIV/0!</v>
      </c>
      <c r="AN58" s="524" t="e">
        <f t="shared" si="82"/>
        <v>#DIV/0!</v>
      </c>
      <c r="AO58" s="524" t="e">
        <f t="shared" si="82"/>
        <v>#DIV/0!</v>
      </c>
      <c r="AP58" s="524" t="e">
        <f t="shared" si="82"/>
        <v>#DIV/0!</v>
      </c>
      <c r="AQ58" s="524" t="e">
        <f t="shared" si="82"/>
        <v>#DIV/0!</v>
      </c>
      <c r="AR58" s="524" t="e">
        <f t="shared" ref="AR58:AT58" si="83">$AI$54*AR14/$AI$10</f>
        <v>#DIV/0!</v>
      </c>
      <c r="AS58" s="524" t="e">
        <f t="shared" si="83"/>
        <v>#DIV/0!</v>
      </c>
      <c r="AT58" s="524" t="e">
        <f t="shared" si="83"/>
        <v>#DIV/0!</v>
      </c>
      <c r="AU58" s="163">
        <v>1</v>
      </c>
      <c r="AV58" s="168">
        <v>1</v>
      </c>
      <c r="AW58" s="162">
        <v>100</v>
      </c>
      <c r="AX58" s="162"/>
      <c r="BA58" s="202">
        <f t="shared" si="70"/>
        <v>0</v>
      </c>
      <c r="BB58" s="202">
        <f t="shared" si="71"/>
        <v>0</v>
      </c>
      <c r="BC58" s="202">
        <f t="shared" si="72"/>
        <v>0</v>
      </c>
      <c r="BD58" s="203" t="e">
        <f t="shared" si="79"/>
        <v>#DIV/0!</v>
      </c>
      <c r="BE58" s="203" t="e">
        <f t="shared" si="79"/>
        <v>#DIV/0!</v>
      </c>
      <c r="BF58" s="203" t="e">
        <f t="shared" si="79"/>
        <v>#DIV/0!</v>
      </c>
      <c r="BH58" s="201"/>
      <c r="BI58" s="201"/>
      <c r="BJ58" s="201"/>
      <c r="BK58" s="201"/>
      <c r="BL58" s="201"/>
      <c r="BM58" s="201"/>
      <c r="BN58" s="201"/>
      <c r="BO58" s="201"/>
      <c r="BP58" s="201"/>
      <c r="BQ58" s="201"/>
      <c r="BR58" s="201"/>
    </row>
    <row r="59" spans="1:70" ht="13" thickBot="1">
      <c r="B59" s="162"/>
      <c r="C59" s="162"/>
      <c r="D59" s="553"/>
      <c r="E59" s="212"/>
      <c r="F59" s="164">
        <v>2031</v>
      </c>
      <c r="G59" s="164"/>
      <c r="H59" s="526"/>
      <c r="I59" s="526"/>
      <c r="J59" s="526"/>
      <c r="K59" s="526"/>
      <c r="L59" s="526"/>
      <c r="M59" s="526"/>
      <c r="N59" s="526"/>
      <c r="O59" s="526"/>
      <c r="P59" s="526"/>
      <c r="Q59" s="529"/>
      <c r="R59" s="529"/>
      <c r="S59" s="529"/>
      <c r="T59" s="529"/>
      <c r="U59" s="529"/>
      <c r="V59" s="529"/>
      <c r="W59" s="529"/>
      <c r="X59" s="529"/>
      <c r="Y59" s="529"/>
      <c r="Z59" s="529"/>
      <c r="AA59" s="529"/>
      <c r="AB59" s="529"/>
      <c r="AC59" s="529"/>
      <c r="AD59" s="529"/>
      <c r="AE59" s="529"/>
      <c r="AF59" s="529"/>
      <c r="AG59" s="529"/>
      <c r="AH59" s="529"/>
      <c r="AI59" s="524" t="e">
        <f t="shared" ref="AI59:AQ59" si="84">$AI$54*AI15/$AI$10</f>
        <v>#DIV/0!</v>
      </c>
      <c r="AJ59" s="524" t="e">
        <f t="shared" si="84"/>
        <v>#DIV/0!</v>
      </c>
      <c r="AK59" s="524" t="e">
        <f t="shared" si="84"/>
        <v>#DIV/0!</v>
      </c>
      <c r="AL59" s="524" t="e">
        <f t="shared" si="84"/>
        <v>#DIV/0!</v>
      </c>
      <c r="AM59" s="524" t="e">
        <f t="shared" si="84"/>
        <v>#DIV/0!</v>
      </c>
      <c r="AN59" s="524" t="e">
        <f t="shared" si="84"/>
        <v>#DIV/0!</v>
      </c>
      <c r="AO59" s="524" t="e">
        <f t="shared" si="84"/>
        <v>#DIV/0!</v>
      </c>
      <c r="AP59" s="524" t="e">
        <f t="shared" si="84"/>
        <v>#DIV/0!</v>
      </c>
      <c r="AQ59" s="524" t="e">
        <f t="shared" si="84"/>
        <v>#DIV/0!</v>
      </c>
      <c r="AR59" s="524" t="e">
        <f t="shared" ref="AR59:AT59" si="85">$AI$54*AR15/$AI$10</f>
        <v>#DIV/0!</v>
      </c>
      <c r="AS59" s="524" t="e">
        <f t="shared" si="85"/>
        <v>#DIV/0!</v>
      </c>
      <c r="AT59" s="524" t="e">
        <f t="shared" si="85"/>
        <v>#DIV/0!</v>
      </c>
      <c r="AU59" s="163">
        <v>1</v>
      </c>
      <c r="AV59" s="168">
        <v>1</v>
      </c>
      <c r="AW59" s="162">
        <v>100</v>
      </c>
      <c r="AX59" s="162"/>
      <c r="BA59" s="202">
        <f t="shared" si="70"/>
        <v>0</v>
      </c>
      <c r="BB59" s="202">
        <f t="shared" si="71"/>
        <v>0</v>
      </c>
      <c r="BC59" s="202">
        <f t="shared" si="72"/>
        <v>0</v>
      </c>
      <c r="BD59" s="203" t="e">
        <f t="shared" si="79"/>
        <v>#DIV/0!</v>
      </c>
      <c r="BE59" s="203" t="e">
        <f t="shared" si="79"/>
        <v>#DIV/0!</v>
      </c>
      <c r="BF59" s="203" t="e">
        <f t="shared" si="79"/>
        <v>#DIV/0!</v>
      </c>
      <c r="BH59" s="201"/>
      <c r="BI59" s="201"/>
      <c r="BJ59" s="201"/>
      <c r="BK59" s="201"/>
      <c r="BL59" s="201"/>
      <c r="BM59" s="201"/>
      <c r="BN59" s="201"/>
      <c r="BO59" s="201"/>
      <c r="BP59" s="201"/>
      <c r="BQ59" s="201"/>
      <c r="BR59" s="201"/>
    </row>
    <row r="60" spans="1:70" ht="13" thickBot="1">
      <c r="B60" s="165" t="str">
        <f>Processes!D27</f>
        <v>CDCRDL</v>
      </c>
      <c r="C60" s="165" t="str">
        <f>Processes!E27</f>
        <v xml:space="preserve">Residential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9">
        <f t="shared" ref="Q60:S62" si="86">H60*0.6</f>
        <v>0</v>
      </c>
      <c r="R60" s="529">
        <f t="shared" si="86"/>
        <v>0</v>
      </c>
      <c r="S60" s="529">
        <f t="shared" si="86"/>
        <v>0</v>
      </c>
      <c r="T60" s="529">
        <f t="shared" ref="T60:V62" si="87">H60*0.99</f>
        <v>0</v>
      </c>
      <c r="U60" s="529">
        <f t="shared" si="87"/>
        <v>0</v>
      </c>
      <c r="V60" s="529">
        <f t="shared" si="87"/>
        <v>0</v>
      </c>
      <c r="W60" s="529">
        <f t="shared" ref="W60:W62" si="88">K60*0.99</f>
        <v>0</v>
      </c>
      <c r="X60" s="529">
        <f t="shared" ref="X60:X62" si="89">L60*0.99</f>
        <v>0</v>
      </c>
      <c r="Y60" s="529">
        <f t="shared" ref="Y60:Y62" si="90">M60*0.99</f>
        <v>0</v>
      </c>
      <c r="Z60" s="529">
        <f t="shared" ref="Z60:Z62" si="91">N60*0.99</f>
        <v>0</v>
      </c>
      <c r="AA60" s="529">
        <f t="shared" ref="AA60:AA62" si="92">O60*0.99</f>
        <v>0</v>
      </c>
      <c r="AB60" s="529">
        <f t="shared" ref="AB60:AB62" si="93">P60*0.99</f>
        <v>0</v>
      </c>
      <c r="AC60" s="529">
        <f t="shared" ref="AC60:AH62" si="94">Q60*0.99</f>
        <v>0</v>
      </c>
      <c r="AD60" s="529">
        <f t="shared" si="94"/>
        <v>0</v>
      </c>
      <c r="AE60" s="529">
        <f t="shared" si="94"/>
        <v>0</v>
      </c>
      <c r="AF60" s="529">
        <f t="shared" si="94"/>
        <v>0</v>
      </c>
      <c r="AG60" s="529">
        <f t="shared" si="94"/>
        <v>0</v>
      </c>
      <c r="AH60" s="529">
        <f t="shared" si="94"/>
        <v>0</v>
      </c>
      <c r="AI60" s="522" t="e">
        <f t="shared" ref="AI60:AT60" si="95">AI61/2</f>
        <v>#DIV/0!</v>
      </c>
      <c r="AJ60" s="522" t="e">
        <f t="shared" si="95"/>
        <v>#DIV/0!</v>
      </c>
      <c r="AK60" s="522" t="e">
        <f t="shared" si="95"/>
        <v>#DIV/0!</v>
      </c>
      <c r="AL60" s="522">
        <f t="shared" si="95"/>
        <v>343.48949999999996</v>
      </c>
      <c r="AM60" s="522" t="e">
        <f t="shared" si="95"/>
        <v>#DIV/0!</v>
      </c>
      <c r="AN60" s="522" t="e">
        <f t="shared" si="95"/>
        <v>#DIV/0!</v>
      </c>
      <c r="AO60" s="522">
        <f t="shared" si="95"/>
        <v>367.61750000000001</v>
      </c>
      <c r="AP60" s="522" t="e">
        <f t="shared" si="95"/>
        <v>#DIV/0!</v>
      </c>
      <c r="AQ60" s="522" t="e">
        <f t="shared" si="95"/>
        <v>#DIV/0!</v>
      </c>
      <c r="AR60" s="522">
        <f t="shared" si="95"/>
        <v>367.61750000000001</v>
      </c>
      <c r="AS60" s="522" t="e">
        <f t="shared" si="95"/>
        <v>#DIV/0!</v>
      </c>
      <c r="AT60" s="522" t="e">
        <f t="shared" si="95"/>
        <v>#DIV/0!</v>
      </c>
      <c r="AU60" s="167">
        <v>1</v>
      </c>
      <c r="AV60" s="165">
        <v>1</v>
      </c>
      <c r="AW60" s="160"/>
      <c r="AX60" s="162"/>
      <c r="AY60" s="162"/>
      <c r="AZ60" s="199"/>
      <c r="BA60" s="202">
        <f t="shared" si="70"/>
        <v>0</v>
      </c>
      <c r="BB60" s="202">
        <f t="shared" si="71"/>
        <v>0</v>
      </c>
      <c r="BC60" s="202">
        <f t="shared" si="72"/>
        <v>0</v>
      </c>
      <c r="BD60" s="203" t="e">
        <f t="shared" ref="BD60:BD69" si="96">BA60/AI60</f>
        <v>#DIV/0!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Residential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1467.6299999999999</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1513.83</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1536.52</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9">
        <f t="shared" si="86"/>
        <v>880.57799999999986</v>
      </c>
      <c r="R61" s="529">
        <f t="shared" si="86"/>
        <v>0</v>
      </c>
      <c r="S61" s="529">
        <f t="shared" si="86"/>
        <v>0</v>
      </c>
      <c r="T61" s="529">
        <f t="shared" si="87"/>
        <v>1452.9536999999998</v>
      </c>
      <c r="U61" s="529">
        <f t="shared" si="87"/>
        <v>0</v>
      </c>
      <c r="V61" s="529">
        <f t="shared" si="87"/>
        <v>0</v>
      </c>
      <c r="W61" s="529">
        <f t="shared" si="88"/>
        <v>1498.6916999999999</v>
      </c>
      <c r="X61" s="529">
        <f t="shared" si="89"/>
        <v>0</v>
      </c>
      <c r="Y61" s="529">
        <f t="shared" si="90"/>
        <v>0</v>
      </c>
      <c r="Z61" s="529">
        <f t="shared" si="91"/>
        <v>1521.1548</v>
      </c>
      <c r="AA61" s="529">
        <f t="shared" si="92"/>
        <v>0</v>
      </c>
      <c r="AB61" s="529">
        <f t="shared" si="93"/>
        <v>0</v>
      </c>
      <c r="AC61" s="529">
        <f t="shared" si="94"/>
        <v>871.77221999999983</v>
      </c>
      <c r="AD61" s="529">
        <f t="shared" si="94"/>
        <v>0</v>
      </c>
      <c r="AE61" s="529">
        <f t="shared" si="94"/>
        <v>0</v>
      </c>
      <c r="AF61" s="529">
        <f t="shared" si="94"/>
        <v>1438.4241629999997</v>
      </c>
      <c r="AG61" s="529">
        <f t="shared" si="94"/>
        <v>0</v>
      </c>
      <c r="AH61" s="529">
        <f t="shared" si="94"/>
        <v>0</v>
      </c>
      <c r="AI61" s="523" t="e">
        <f>ROUNDUP(SUM(H60:H66)/Cooling!AA8,3)</f>
        <v>#DIV/0!</v>
      </c>
      <c r="AJ61" s="523" t="e">
        <f>ROUNDUP(SUM(I60:I66)/Cooling!AB8,3)</f>
        <v>#DIV/0!</v>
      </c>
      <c r="AK61" s="523" t="e">
        <f>ROUNDUP(SUM(J60:J66)/Cooling!AC8,3)</f>
        <v>#DIV/0!</v>
      </c>
      <c r="AL61" s="523">
        <f>ROUNDUP(SUM(K60:K66)/Cooling!AA12,3)</f>
        <v>686.97899999999993</v>
      </c>
      <c r="AM61" s="523" t="e">
        <f>ROUNDUP(SUM(L60:L66)/Cooling!AB12,3)</f>
        <v>#DIV/0!</v>
      </c>
      <c r="AN61" s="523" t="e">
        <f>ROUNDUP(SUM(M60:M66)/Cooling!AC12,3)</f>
        <v>#DIV/0!</v>
      </c>
      <c r="AO61" s="523">
        <f>ROUNDUP(SUM(N60:N66)/Cooling!AA16,3)</f>
        <v>735.23500000000001</v>
      </c>
      <c r="AP61" s="523" t="e">
        <f>ROUNDUP(SUM(O60:O66)/Cooling!AB16,3)</f>
        <v>#DIV/0!</v>
      </c>
      <c r="AQ61" s="523" t="e">
        <f>ROUNDUP(SUM(P60:P66)/Cooling!AC16,3)</f>
        <v>#DIV/0!</v>
      </c>
      <c r="AR61" s="523">
        <f>AO61</f>
        <v>735.23500000000001</v>
      </c>
      <c r="AS61" s="523" t="e">
        <f>AP61</f>
        <v>#DIV/0!</v>
      </c>
      <c r="AT61" s="523" t="e">
        <f>AQ61</f>
        <v>#DIV/0!</v>
      </c>
      <c r="AU61" s="163">
        <v>1</v>
      </c>
      <c r="AV61" s="162">
        <v>1</v>
      </c>
      <c r="AW61" s="160"/>
      <c r="AX61" s="162"/>
      <c r="AY61" s="162"/>
      <c r="AZ61" s="199"/>
      <c r="BA61" s="202">
        <f t="shared" si="70"/>
        <v>1467.6299999999999</v>
      </c>
      <c r="BB61" s="202">
        <f t="shared" si="71"/>
        <v>0</v>
      </c>
      <c r="BC61" s="202">
        <f t="shared" si="72"/>
        <v>0</v>
      </c>
      <c r="BD61" s="203" t="e">
        <f t="shared" si="96"/>
        <v>#DIV/0!</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Residential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9">
        <f t="shared" si="86"/>
        <v>0</v>
      </c>
      <c r="R62" s="529">
        <f t="shared" si="86"/>
        <v>0</v>
      </c>
      <c r="S62" s="529">
        <f t="shared" si="86"/>
        <v>0</v>
      </c>
      <c r="T62" s="529">
        <f t="shared" si="87"/>
        <v>0</v>
      </c>
      <c r="U62" s="529">
        <f t="shared" si="87"/>
        <v>0</v>
      </c>
      <c r="V62" s="529">
        <f t="shared" si="87"/>
        <v>0</v>
      </c>
      <c r="W62" s="529">
        <f t="shared" si="88"/>
        <v>0</v>
      </c>
      <c r="X62" s="529">
        <f t="shared" si="89"/>
        <v>0</v>
      </c>
      <c r="Y62" s="529">
        <f t="shared" si="90"/>
        <v>0</v>
      </c>
      <c r="Z62" s="529">
        <f t="shared" si="91"/>
        <v>0</v>
      </c>
      <c r="AA62" s="529">
        <f t="shared" si="92"/>
        <v>0</v>
      </c>
      <c r="AB62" s="529">
        <f t="shared" si="93"/>
        <v>0</v>
      </c>
      <c r="AC62" s="529">
        <f t="shared" si="94"/>
        <v>0</v>
      </c>
      <c r="AD62" s="529">
        <f t="shared" si="94"/>
        <v>0</v>
      </c>
      <c r="AE62" s="529">
        <f t="shared" si="94"/>
        <v>0</v>
      </c>
      <c r="AF62" s="529">
        <f t="shared" si="94"/>
        <v>0</v>
      </c>
      <c r="AG62" s="529">
        <f t="shared" si="94"/>
        <v>0</v>
      </c>
      <c r="AH62" s="529">
        <f t="shared" si="94"/>
        <v>0</v>
      </c>
      <c r="AI62" s="523" t="e">
        <f t="shared" ref="AI62:AQ62" si="99">AI61/2+AI63/2</f>
        <v>#DIV/0!</v>
      </c>
      <c r="AJ62" s="523" t="e">
        <f t="shared" si="99"/>
        <v>#DIV/0!</v>
      </c>
      <c r="AK62" s="523" t="e">
        <f t="shared" si="99"/>
        <v>#DIV/0!</v>
      </c>
      <c r="AL62" s="523" t="e">
        <f t="shared" si="99"/>
        <v>#DIV/0!</v>
      </c>
      <c r="AM62" s="523" t="e">
        <f t="shared" si="99"/>
        <v>#DIV/0!</v>
      </c>
      <c r="AN62" s="523" t="e">
        <f t="shared" si="99"/>
        <v>#DIV/0!</v>
      </c>
      <c r="AO62" s="523" t="e">
        <f t="shared" si="99"/>
        <v>#DIV/0!</v>
      </c>
      <c r="AP62" s="523" t="e">
        <f t="shared" si="99"/>
        <v>#DIV/0!</v>
      </c>
      <c r="AQ62" s="523" t="e">
        <f t="shared" si="99"/>
        <v>#DIV/0!</v>
      </c>
      <c r="AR62" s="523" t="e">
        <f t="shared" ref="AR62:AT62" si="100">AR61/2+AR63/2</f>
        <v>#DIV/0!</v>
      </c>
      <c r="AS62" s="523" t="e">
        <f t="shared" si="100"/>
        <v>#DIV/0!</v>
      </c>
      <c r="AT62" s="523" t="e">
        <f t="shared" si="100"/>
        <v>#DIV/0!</v>
      </c>
      <c r="AU62" s="163">
        <v>1</v>
      </c>
      <c r="AV62" s="162">
        <v>1</v>
      </c>
      <c r="AW62" s="162"/>
      <c r="AX62" s="162"/>
      <c r="AY62" s="162"/>
      <c r="AZ62" s="199"/>
      <c r="BA62" s="202">
        <f t="shared" si="70"/>
        <v>0</v>
      </c>
      <c r="BB62" s="202">
        <f t="shared" si="71"/>
        <v>0</v>
      </c>
      <c r="BC62" s="202">
        <f t="shared" si="72"/>
        <v>0</v>
      </c>
      <c r="BD62" s="203" t="e">
        <f t="shared" si="96"/>
        <v>#DIV/0!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Residential Demand Cooling Rural Detached -  - New </v>
      </c>
      <c r="D63" s="133" t="str">
        <f>Commodities!$C$56</f>
        <v>COMCRDB</v>
      </c>
      <c r="E63" s="191" t="str">
        <f>E62</f>
        <v>CCRDB</v>
      </c>
      <c r="F63" s="156">
        <v>2011</v>
      </c>
      <c r="G63" s="191">
        <v>2011</v>
      </c>
      <c r="H63" s="49"/>
      <c r="I63" s="49"/>
      <c r="J63" s="49"/>
      <c r="K63" s="49"/>
      <c r="L63" s="49"/>
      <c r="M63" s="49"/>
      <c r="N63" s="49"/>
      <c r="O63" s="49"/>
      <c r="P63" s="49"/>
      <c r="Q63" s="529"/>
      <c r="R63" s="529"/>
      <c r="S63" s="529"/>
      <c r="T63" s="529"/>
      <c r="U63" s="529"/>
      <c r="V63" s="529"/>
      <c r="W63" s="529"/>
      <c r="X63" s="529"/>
      <c r="Y63" s="529"/>
      <c r="Z63" s="529"/>
      <c r="AA63" s="529"/>
      <c r="AB63" s="529"/>
      <c r="AC63" s="529"/>
      <c r="AD63" s="529"/>
      <c r="AE63" s="529"/>
      <c r="AF63" s="529"/>
      <c r="AG63" s="529"/>
      <c r="AH63" s="529"/>
      <c r="AI63" s="524" t="e">
        <f t="shared" ref="AI63:AQ63" si="101">$AI$61*AI19/$AI$17</f>
        <v>#DIV/0!</v>
      </c>
      <c r="AJ63" s="524" t="e">
        <f t="shared" si="101"/>
        <v>#DIV/0!</v>
      </c>
      <c r="AK63" s="524" t="e">
        <f t="shared" si="101"/>
        <v>#DIV/0!</v>
      </c>
      <c r="AL63" s="524" t="e">
        <f t="shared" si="101"/>
        <v>#DIV/0!</v>
      </c>
      <c r="AM63" s="524" t="e">
        <f t="shared" si="101"/>
        <v>#DIV/0!</v>
      </c>
      <c r="AN63" s="524" t="e">
        <f t="shared" si="101"/>
        <v>#DIV/0!</v>
      </c>
      <c r="AO63" s="524" t="e">
        <f t="shared" si="101"/>
        <v>#DIV/0!</v>
      </c>
      <c r="AP63" s="524" t="e">
        <f t="shared" si="101"/>
        <v>#DIV/0!</v>
      </c>
      <c r="AQ63" s="524" t="e">
        <f t="shared" si="101"/>
        <v>#DIV/0!</v>
      </c>
      <c r="AR63" s="524" t="e">
        <f t="shared" ref="AR63:AT63" si="102">$AI$61*AR19/$AI$17</f>
        <v>#DIV/0!</v>
      </c>
      <c r="AS63" s="524" t="e">
        <f t="shared" si="102"/>
        <v>#DIV/0!</v>
      </c>
      <c r="AT63" s="524" t="e">
        <f t="shared" si="102"/>
        <v>#DIV/0!</v>
      </c>
      <c r="AU63" s="163">
        <v>1</v>
      </c>
      <c r="AV63" s="168">
        <v>1</v>
      </c>
      <c r="AW63" s="162">
        <v>100</v>
      </c>
      <c r="AX63" s="162"/>
      <c r="AY63" s="162"/>
      <c r="BA63" s="202">
        <f t="shared" si="70"/>
        <v>0</v>
      </c>
      <c r="BB63" s="202">
        <f t="shared" si="71"/>
        <v>0</v>
      </c>
      <c r="BC63" s="202">
        <f t="shared" si="72"/>
        <v>0</v>
      </c>
      <c r="BD63" s="203" t="e">
        <f t="shared" si="96"/>
        <v>#DIV/0!</v>
      </c>
      <c r="BE63" s="203" t="e">
        <f t="shared" si="97"/>
        <v>#DIV/0!</v>
      </c>
      <c r="BF63" s="203" t="e">
        <f t="shared" si="98"/>
        <v>#DIV/0!</v>
      </c>
      <c r="BH63" s="201"/>
      <c r="BI63" s="201"/>
      <c r="BJ63" s="201"/>
      <c r="BK63" s="201"/>
      <c r="BL63" s="644"/>
      <c r="BM63" s="644"/>
      <c r="BN63" s="644"/>
      <c r="BO63" s="201"/>
      <c r="BP63" s="201"/>
      <c r="BQ63" s="201"/>
      <c r="BR63" s="201"/>
    </row>
    <row r="64" spans="1:70">
      <c r="B64" s="162"/>
      <c r="C64" s="162"/>
      <c r="D64" s="553"/>
      <c r="E64" s="191"/>
      <c r="F64" s="156">
        <v>2016</v>
      </c>
      <c r="H64" s="49"/>
      <c r="I64" s="49"/>
      <c r="J64" s="49"/>
      <c r="K64" s="49"/>
      <c r="L64" s="49"/>
      <c r="M64" s="49"/>
      <c r="N64" s="49"/>
      <c r="O64" s="49"/>
      <c r="P64" s="49"/>
      <c r="Q64" s="529"/>
      <c r="R64" s="529"/>
      <c r="S64" s="529"/>
      <c r="T64" s="529"/>
      <c r="U64" s="529"/>
      <c r="V64" s="529"/>
      <c r="W64" s="529"/>
      <c r="X64" s="529"/>
      <c r="Y64" s="529"/>
      <c r="Z64" s="529"/>
      <c r="AA64" s="529"/>
      <c r="AB64" s="529"/>
      <c r="AC64" s="529"/>
      <c r="AD64" s="529"/>
      <c r="AE64" s="529"/>
      <c r="AF64" s="529"/>
      <c r="AG64" s="529"/>
      <c r="AH64" s="529"/>
      <c r="AI64" s="524" t="e">
        <f t="shared" ref="AI64:AQ64" si="103">$AI$61*AI20/$AI$17</f>
        <v>#DIV/0!</v>
      </c>
      <c r="AJ64" s="524" t="e">
        <f t="shared" si="103"/>
        <v>#DIV/0!</v>
      </c>
      <c r="AK64" s="524" t="e">
        <f t="shared" si="103"/>
        <v>#DIV/0!</v>
      </c>
      <c r="AL64" s="524" t="e">
        <f t="shared" si="103"/>
        <v>#DIV/0!</v>
      </c>
      <c r="AM64" s="524" t="e">
        <f t="shared" si="103"/>
        <v>#DIV/0!</v>
      </c>
      <c r="AN64" s="524" t="e">
        <f t="shared" si="103"/>
        <v>#DIV/0!</v>
      </c>
      <c r="AO64" s="524" t="e">
        <f t="shared" si="103"/>
        <v>#DIV/0!</v>
      </c>
      <c r="AP64" s="524" t="e">
        <f t="shared" si="103"/>
        <v>#DIV/0!</v>
      </c>
      <c r="AQ64" s="524" t="e">
        <f t="shared" si="103"/>
        <v>#DIV/0!</v>
      </c>
      <c r="AR64" s="524" t="e">
        <f t="shared" ref="AR64:AT64" si="104">$AI$61*AR20/$AI$17</f>
        <v>#DIV/0!</v>
      </c>
      <c r="AS64" s="524" t="e">
        <f t="shared" si="104"/>
        <v>#DIV/0!</v>
      </c>
      <c r="AT64" s="524" t="e">
        <f t="shared" si="104"/>
        <v>#DIV/0!</v>
      </c>
      <c r="AU64" s="163">
        <v>1</v>
      </c>
      <c r="AV64" s="168">
        <v>1</v>
      </c>
      <c r="AW64" s="162">
        <v>100</v>
      </c>
      <c r="AX64" s="162"/>
      <c r="AY64" s="162"/>
      <c r="BA64" s="202">
        <f t="shared" si="70"/>
        <v>0</v>
      </c>
      <c r="BB64" s="202">
        <f t="shared" si="71"/>
        <v>0</v>
      </c>
      <c r="BC64" s="202">
        <f t="shared" si="72"/>
        <v>0</v>
      </c>
      <c r="BD64" s="203" t="e">
        <f t="shared" si="96"/>
        <v>#DIV/0!</v>
      </c>
      <c r="BE64" s="203" t="e">
        <f t="shared" si="97"/>
        <v>#DIV/0!</v>
      </c>
      <c r="BF64" s="203" t="e">
        <f t="shared" si="98"/>
        <v>#DIV/0!</v>
      </c>
      <c r="BH64" s="201"/>
      <c r="BI64" s="201"/>
      <c r="BJ64" s="201"/>
      <c r="BK64" s="201"/>
      <c r="BL64" s="201"/>
      <c r="BM64" s="201"/>
      <c r="BN64" s="201"/>
      <c r="BO64" s="201"/>
      <c r="BP64" s="201"/>
      <c r="BQ64" s="201"/>
      <c r="BR64" s="201"/>
    </row>
    <row r="65" spans="1:70">
      <c r="B65" s="162"/>
      <c r="C65" s="162"/>
      <c r="D65" s="553"/>
      <c r="E65" s="191"/>
      <c r="F65" s="156">
        <v>2021</v>
      </c>
      <c r="H65" s="49"/>
      <c r="I65" s="49"/>
      <c r="J65" s="49"/>
      <c r="K65" s="49"/>
      <c r="L65" s="49"/>
      <c r="M65" s="49"/>
      <c r="N65" s="49"/>
      <c r="O65" s="49"/>
      <c r="P65" s="49"/>
      <c r="Q65" s="529"/>
      <c r="R65" s="529"/>
      <c r="S65" s="529"/>
      <c r="T65" s="529"/>
      <c r="U65" s="529"/>
      <c r="V65" s="529"/>
      <c r="W65" s="529"/>
      <c r="X65" s="529"/>
      <c r="Y65" s="529"/>
      <c r="Z65" s="529"/>
      <c r="AA65" s="529"/>
      <c r="AB65" s="529"/>
      <c r="AC65" s="529"/>
      <c r="AD65" s="529"/>
      <c r="AE65" s="529"/>
      <c r="AF65" s="529"/>
      <c r="AG65" s="529"/>
      <c r="AH65" s="529"/>
      <c r="AI65" s="524" t="e">
        <f t="shared" ref="AI65:AQ65" si="105">$AI$61*AI21/$AI$17</f>
        <v>#DIV/0!</v>
      </c>
      <c r="AJ65" s="524" t="e">
        <f t="shared" si="105"/>
        <v>#DIV/0!</v>
      </c>
      <c r="AK65" s="524" t="e">
        <f t="shared" si="105"/>
        <v>#DIV/0!</v>
      </c>
      <c r="AL65" s="524" t="e">
        <f t="shared" si="105"/>
        <v>#DIV/0!</v>
      </c>
      <c r="AM65" s="524" t="e">
        <f t="shared" si="105"/>
        <v>#DIV/0!</v>
      </c>
      <c r="AN65" s="524" t="e">
        <f t="shared" si="105"/>
        <v>#DIV/0!</v>
      </c>
      <c r="AO65" s="524" t="e">
        <f t="shared" si="105"/>
        <v>#DIV/0!</v>
      </c>
      <c r="AP65" s="524" t="e">
        <f t="shared" si="105"/>
        <v>#DIV/0!</v>
      </c>
      <c r="AQ65" s="524" t="e">
        <f t="shared" si="105"/>
        <v>#DIV/0!</v>
      </c>
      <c r="AR65" s="524" t="e">
        <f t="shared" ref="AR65:AT65" si="106">$AI$61*AR21/$AI$17</f>
        <v>#DIV/0!</v>
      </c>
      <c r="AS65" s="524" t="e">
        <f t="shared" si="106"/>
        <v>#DIV/0!</v>
      </c>
      <c r="AT65" s="524" t="e">
        <f t="shared" si="106"/>
        <v>#DIV/0!</v>
      </c>
      <c r="AU65" s="163">
        <v>1</v>
      </c>
      <c r="AV65" s="168">
        <v>1</v>
      </c>
      <c r="AW65" s="162">
        <v>100</v>
      </c>
      <c r="AX65" s="162"/>
      <c r="AY65" s="162"/>
      <c r="BA65" s="202">
        <f t="shared" si="70"/>
        <v>0</v>
      </c>
      <c r="BB65" s="202">
        <f t="shared" si="71"/>
        <v>0</v>
      </c>
      <c r="BC65" s="202">
        <f t="shared" si="72"/>
        <v>0</v>
      </c>
      <c r="BD65" s="203" t="e">
        <f t="shared" si="96"/>
        <v>#DIV/0!</v>
      </c>
      <c r="BE65" s="203" t="e">
        <f t="shared" si="97"/>
        <v>#DIV/0!</v>
      </c>
      <c r="BF65" s="203" t="e">
        <f t="shared" si="98"/>
        <v>#DIV/0!</v>
      </c>
      <c r="BH65" s="201"/>
      <c r="BI65" s="201"/>
      <c r="BJ65" s="201"/>
      <c r="BK65" s="201"/>
      <c r="BL65" s="201"/>
      <c r="BM65" s="201"/>
      <c r="BN65" s="201"/>
      <c r="BO65" s="201"/>
      <c r="BP65" s="201"/>
      <c r="BQ65" s="201"/>
      <c r="BR65" s="201"/>
    </row>
    <row r="66" spans="1:70" ht="13" thickBot="1">
      <c r="B66" s="162"/>
      <c r="C66" s="162"/>
      <c r="D66" s="553"/>
      <c r="E66" s="212"/>
      <c r="F66" s="164">
        <v>2031</v>
      </c>
      <c r="G66" s="164"/>
      <c r="H66" s="526"/>
      <c r="I66" s="526"/>
      <c r="J66" s="526"/>
      <c r="K66" s="526"/>
      <c r="L66" s="526"/>
      <c r="M66" s="526"/>
      <c r="N66" s="526"/>
      <c r="O66" s="526"/>
      <c r="P66" s="526"/>
      <c r="Q66" s="529"/>
      <c r="R66" s="529"/>
      <c r="S66" s="529"/>
      <c r="T66" s="529"/>
      <c r="U66" s="529"/>
      <c r="V66" s="529"/>
      <c r="W66" s="529"/>
      <c r="X66" s="529"/>
      <c r="Y66" s="529"/>
      <c r="Z66" s="529"/>
      <c r="AA66" s="529"/>
      <c r="AB66" s="529"/>
      <c r="AC66" s="529"/>
      <c r="AD66" s="529"/>
      <c r="AE66" s="529"/>
      <c r="AF66" s="529"/>
      <c r="AG66" s="529"/>
      <c r="AH66" s="529"/>
      <c r="AI66" s="524" t="e">
        <f t="shared" ref="AI66:AQ66" si="107">$AI$61*AI22/$AI$17</f>
        <v>#DIV/0!</v>
      </c>
      <c r="AJ66" s="524" t="e">
        <f t="shared" si="107"/>
        <v>#DIV/0!</v>
      </c>
      <c r="AK66" s="524" t="e">
        <f t="shared" si="107"/>
        <v>#DIV/0!</v>
      </c>
      <c r="AL66" s="524" t="e">
        <f t="shared" si="107"/>
        <v>#DIV/0!</v>
      </c>
      <c r="AM66" s="524" t="e">
        <f t="shared" si="107"/>
        <v>#DIV/0!</v>
      </c>
      <c r="AN66" s="524" t="e">
        <f t="shared" si="107"/>
        <v>#DIV/0!</v>
      </c>
      <c r="AO66" s="524" t="e">
        <f t="shared" si="107"/>
        <v>#DIV/0!</v>
      </c>
      <c r="AP66" s="524" t="e">
        <f t="shared" si="107"/>
        <v>#DIV/0!</v>
      </c>
      <c r="AQ66" s="524" t="e">
        <f t="shared" si="107"/>
        <v>#DIV/0!</v>
      </c>
      <c r="AR66" s="524" t="e">
        <f t="shared" ref="AR66:AT66" si="108">$AI$61*AR22/$AI$17</f>
        <v>#DIV/0!</v>
      </c>
      <c r="AS66" s="524" t="e">
        <f t="shared" si="108"/>
        <v>#DIV/0!</v>
      </c>
      <c r="AT66" s="524" t="e">
        <f t="shared" si="108"/>
        <v>#DIV/0!</v>
      </c>
      <c r="AU66" s="163">
        <v>1</v>
      </c>
      <c r="AV66" s="168">
        <v>1</v>
      </c>
      <c r="AW66" s="162">
        <v>100</v>
      </c>
      <c r="AX66" s="162"/>
      <c r="AY66" s="162"/>
      <c r="AZ66" s="199"/>
      <c r="BA66" s="202">
        <f t="shared" si="70"/>
        <v>0</v>
      </c>
      <c r="BB66" s="202">
        <f t="shared" si="71"/>
        <v>0</v>
      </c>
      <c r="BC66" s="202">
        <f t="shared" si="72"/>
        <v>0</v>
      </c>
      <c r="BD66" s="203" t="e">
        <f t="shared" si="96"/>
        <v>#DIV/0!</v>
      </c>
      <c r="BE66" s="203" t="e">
        <f t="shared" si="97"/>
        <v>#DIV/0!</v>
      </c>
      <c r="BF66" s="203" t="e">
        <f t="shared" si="98"/>
        <v>#DIV/0!</v>
      </c>
      <c r="BH66" s="201"/>
      <c r="BI66" s="201"/>
      <c r="BJ66" s="201"/>
      <c r="BK66" s="201"/>
      <c r="BL66" s="201"/>
      <c r="BM66" s="201"/>
      <c r="BN66" s="201"/>
      <c r="BO66" s="201"/>
      <c r="BP66" s="201"/>
      <c r="BQ66" s="201"/>
      <c r="BR66" s="201"/>
    </row>
    <row r="67" spans="1:70" ht="13" thickBot="1">
      <c r="B67" s="165" t="str">
        <f>Processes!D31</f>
        <v>CDCUML</v>
      </c>
      <c r="C67" s="165" t="str">
        <f>Processes!E31</f>
        <v xml:space="preserve">Residential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9">
        <f t="shared" ref="Q67:S69" si="109">H67*0.6</f>
        <v>0</v>
      </c>
      <c r="R67" s="529">
        <f t="shared" si="109"/>
        <v>0</v>
      </c>
      <c r="S67" s="529">
        <f t="shared" si="109"/>
        <v>0</v>
      </c>
      <c r="T67" s="529">
        <f t="shared" ref="T67:V69" si="110">H67*0.99</f>
        <v>0</v>
      </c>
      <c r="U67" s="529">
        <f t="shared" si="110"/>
        <v>0</v>
      </c>
      <c r="V67" s="529">
        <f t="shared" si="110"/>
        <v>0</v>
      </c>
      <c r="W67" s="529">
        <f t="shared" ref="W67:W69" si="111">K67*0.99</f>
        <v>0</v>
      </c>
      <c r="X67" s="529">
        <f t="shared" ref="X67:X69" si="112">L67*0.99</f>
        <v>0</v>
      </c>
      <c r="Y67" s="529">
        <f t="shared" ref="Y67:Y69" si="113">M67*0.99</f>
        <v>0</v>
      </c>
      <c r="Z67" s="529">
        <f t="shared" ref="Z67:Z69" si="114">N67*0.99</f>
        <v>0</v>
      </c>
      <c r="AA67" s="529">
        <f t="shared" ref="AA67:AA69" si="115">O67*0.99</f>
        <v>0</v>
      </c>
      <c r="AB67" s="529">
        <f t="shared" ref="AB67:AB69" si="116">P67*0.99</f>
        <v>0</v>
      </c>
      <c r="AC67" s="529">
        <f t="shared" ref="AC67:AH69" si="117">Q67*0.99</f>
        <v>0</v>
      </c>
      <c r="AD67" s="529">
        <f t="shared" si="117"/>
        <v>0</v>
      </c>
      <c r="AE67" s="529">
        <f t="shared" si="117"/>
        <v>0</v>
      </c>
      <c r="AF67" s="529">
        <f t="shared" si="117"/>
        <v>0</v>
      </c>
      <c r="AG67" s="529">
        <f t="shared" si="117"/>
        <v>0</v>
      </c>
      <c r="AH67" s="529">
        <f t="shared" si="117"/>
        <v>0</v>
      </c>
      <c r="AI67" s="522" t="e">
        <f t="shared" ref="AI67:AT67" si="118">AI68/2</f>
        <v>#DIV/0!</v>
      </c>
      <c r="AJ67" s="522" t="e">
        <f t="shared" si="118"/>
        <v>#DIV/0!</v>
      </c>
      <c r="AK67" s="522" t="e">
        <f t="shared" si="118"/>
        <v>#DIV/0!</v>
      </c>
      <c r="AL67" s="522">
        <f t="shared" si="118"/>
        <v>408.95799999999997</v>
      </c>
      <c r="AM67" s="522" t="e">
        <f t="shared" si="118"/>
        <v>#DIV/0!</v>
      </c>
      <c r="AN67" s="522" t="e">
        <f t="shared" si="118"/>
        <v>#DIV/0!</v>
      </c>
      <c r="AO67" s="522">
        <f t="shared" si="118"/>
        <v>437.68399999999997</v>
      </c>
      <c r="AP67" s="522" t="e">
        <f t="shared" si="118"/>
        <v>#DIV/0!</v>
      </c>
      <c r="AQ67" s="522" t="e">
        <f t="shared" si="118"/>
        <v>#DIV/0!</v>
      </c>
      <c r="AR67" s="522">
        <f t="shared" si="118"/>
        <v>437.68399999999997</v>
      </c>
      <c r="AS67" s="522" t="e">
        <f t="shared" si="118"/>
        <v>#DIV/0!</v>
      </c>
      <c r="AT67" s="522" t="e">
        <f t="shared" si="118"/>
        <v>#DIV/0!</v>
      </c>
      <c r="AU67" s="167">
        <v>1</v>
      </c>
      <c r="AV67" s="165">
        <v>1</v>
      </c>
      <c r="AW67" s="160"/>
      <c r="AX67" s="162"/>
      <c r="AY67" s="162"/>
      <c r="AZ67" s="199"/>
      <c r="BA67" s="202">
        <f t="shared" si="70"/>
        <v>0</v>
      </c>
      <c r="BB67" s="202">
        <f t="shared" si="71"/>
        <v>0</v>
      </c>
      <c r="BC67" s="202">
        <f t="shared" si="72"/>
        <v>0</v>
      </c>
      <c r="BD67" s="203" t="e">
        <f t="shared" si="96"/>
        <v>#DIV/0!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Residential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1110.1299999999999</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1145.08</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1162.24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9">
        <f t="shared" si="109"/>
        <v>666.07799999999986</v>
      </c>
      <c r="R68" s="529">
        <f t="shared" si="109"/>
        <v>0</v>
      </c>
      <c r="S68" s="529">
        <f t="shared" si="109"/>
        <v>0</v>
      </c>
      <c r="T68" s="529">
        <f t="shared" si="110"/>
        <v>1099.0286999999998</v>
      </c>
      <c r="U68" s="529">
        <f t="shared" si="110"/>
        <v>0</v>
      </c>
      <c r="V68" s="529">
        <f t="shared" si="110"/>
        <v>0</v>
      </c>
      <c r="W68" s="529">
        <f t="shared" si="111"/>
        <v>1133.6291999999999</v>
      </c>
      <c r="X68" s="529">
        <f t="shared" si="112"/>
        <v>0</v>
      </c>
      <c r="Y68" s="529">
        <f t="shared" si="113"/>
        <v>0</v>
      </c>
      <c r="Z68" s="529">
        <f t="shared" si="114"/>
        <v>1150.6176</v>
      </c>
      <c r="AA68" s="529">
        <f t="shared" si="115"/>
        <v>0</v>
      </c>
      <c r="AB68" s="529">
        <f t="shared" si="116"/>
        <v>0</v>
      </c>
      <c r="AC68" s="529">
        <f t="shared" si="117"/>
        <v>659.41721999999982</v>
      </c>
      <c r="AD68" s="529">
        <f t="shared" si="117"/>
        <v>0</v>
      </c>
      <c r="AE68" s="529">
        <f t="shared" si="117"/>
        <v>0</v>
      </c>
      <c r="AF68" s="529">
        <f t="shared" si="117"/>
        <v>1088.0384129999998</v>
      </c>
      <c r="AG68" s="529">
        <f t="shared" si="117"/>
        <v>0</v>
      </c>
      <c r="AH68" s="529">
        <f t="shared" si="117"/>
        <v>0</v>
      </c>
      <c r="AI68" s="523" t="e">
        <f>ROUNDUP(SUM(H67:H73)/Cooling!AA9,3)</f>
        <v>#DIV/0!</v>
      </c>
      <c r="AJ68" s="523" t="e">
        <f>ROUNDUP(SUM(I67:I73)/Cooling!AB9,3)</f>
        <v>#DIV/0!</v>
      </c>
      <c r="AK68" s="523" t="e">
        <f>ROUNDUP(SUM(J67:J73)/Cooling!AC9,3)</f>
        <v>#DIV/0!</v>
      </c>
      <c r="AL68" s="523">
        <f>ROUNDUP(SUM(K67:K73)/Cooling!AA13,3)</f>
        <v>817.91599999999994</v>
      </c>
      <c r="AM68" s="523" t="e">
        <f>ROUNDUP(SUM(L67:L73)/Cooling!AB13,3)</f>
        <v>#DIV/0!</v>
      </c>
      <c r="AN68" s="523" t="e">
        <f>ROUNDUP(SUM(M67:M73)/Cooling!AC13,3)</f>
        <v>#DIV/0!</v>
      </c>
      <c r="AO68" s="523">
        <f>ROUNDUP(SUM(N67:N73)/Cooling!AA17,3)</f>
        <v>875.36799999999994</v>
      </c>
      <c r="AP68" s="523" t="e">
        <f>ROUNDUP(SUM(O67:O73)/Cooling!AB17,3)</f>
        <v>#DIV/0!</v>
      </c>
      <c r="AQ68" s="523" t="e">
        <f>ROUNDUP(SUM(P67:P73)/Cooling!AC17,3)</f>
        <v>#DIV/0!</v>
      </c>
      <c r="AR68" s="523">
        <f>AO68</f>
        <v>875.36799999999994</v>
      </c>
      <c r="AS68" s="523" t="e">
        <f>AP68</f>
        <v>#DIV/0!</v>
      </c>
      <c r="AT68" s="523" t="e">
        <f>AQ68</f>
        <v>#DIV/0!</v>
      </c>
      <c r="AU68" s="163">
        <v>1</v>
      </c>
      <c r="AV68" s="162">
        <v>1</v>
      </c>
      <c r="AW68" s="160"/>
      <c r="AX68" s="162"/>
      <c r="AY68" s="162"/>
      <c r="AZ68" s="199"/>
      <c r="BA68" s="202">
        <f t="shared" si="70"/>
        <v>1110.1299999999999</v>
      </c>
      <c r="BB68" s="202">
        <f t="shared" si="71"/>
        <v>0</v>
      </c>
      <c r="BC68" s="202">
        <f t="shared" si="72"/>
        <v>0</v>
      </c>
      <c r="BD68" s="203" t="e">
        <f t="shared" si="96"/>
        <v>#DIV/0!</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Residential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9">
        <f t="shared" si="109"/>
        <v>0</v>
      </c>
      <c r="R69" s="529">
        <f t="shared" si="109"/>
        <v>0</v>
      </c>
      <c r="S69" s="529">
        <f t="shared" si="109"/>
        <v>0</v>
      </c>
      <c r="T69" s="529">
        <f t="shared" si="110"/>
        <v>0</v>
      </c>
      <c r="U69" s="529">
        <f t="shared" si="110"/>
        <v>0</v>
      </c>
      <c r="V69" s="529">
        <f t="shared" si="110"/>
        <v>0</v>
      </c>
      <c r="W69" s="529">
        <f t="shared" si="111"/>
        <v>0</v>
      </c>
      <c r="X69" s="529">
        <f t="shared" si="112"/>
        <v>0</v>
      </c>
      <c r="Y69" s="529">
        <f t="shared" si="113"/>
        <v>0</v>
      </c>
      <c r="Z69" s="529">
        <f t="shared" si="114"/>
        <v>0</v>
      </c>
      <c r="AA69" s="529">
        <f t="shared" si="115"/>
        <v>0</v>
      </c>
      <c r="AB69" s="529">
        <f t="shared" si="116"/>
        <v>0</v>
      </c>
      <c r="AC69" s="529">
        <f t="shared" si="117"/>
        <v>0</v>
      </c>
      <c r="AD69" s="529">
        <f t="shared" si="117"/>
        <v>0</v>
      </c>
      <c r="AE69" s="529">
        <f t="shared" si="117"/>
        <v>0</v>
      </c>
      <c r="AF69" s="529">
        <f t="shared" si="117"/>
        <v>0</v>
      </c>
      <c r="AG69" s="529">
        <f t="shared" si="117"/>
        <v>0</v>
      </c>
      <c r="AH69" s="529">
        <f t="shared" si="117"/>
        <v>0</v>
      </c>
      <c r="AI69" s="523" t="e">
        <f t="shared" ref="AI69:AQ69" si="119">AI68/2+AI70/2</f>
        <v>#DIV/0!</v>
      </c>
      <c r="AJ69" s="523" t="e">
        <f t="shared" si="119"/>
        <v>#DIV/0!</v>
      </c>
      <c r="AK69" s="523" t="e">
        <f t="shared" si="119"/>
        <v>#DIV/0!</v>
      </c>
      <c r="AL69" s="523" t="e">
        <f t="shared" si="119"/>
        <v>#DIV/0!</v>
      </c>
      <c r="AM69" s="523" t="e">
        <f t="shared" si="119"/>
        <v>#DIV/0!</v>
      </c>
      <c r="AN69" s="523" t="e">
        <f t="shared" si="119"/>
        <v>#DIV/0!</v>
      </c>
      <c r="AO69" s="523" t="e">
        <f t="shared" si="119"/>
        <v>#DIV/0!</v>
      </c>
      <c r="AP69" s="523" t="e">
        <f t="shared" si="119"/>
        <v>#DIV/0!</v>
      </c>
      <c r="AQ69" s="523" t="e">
        <f t="shared" si="119"/>
        <v>#DIV/0!</v>
      </c>
      <c r="AR69" s="523" t="e">
        <f t="shared" ref="AR69:AT69" si="120">AR68/2+AR70/2</f>
        <v>#DIV/0!</v>
      </c>
      <c r="AS69" s="523" t="e">
        <f t="shared" si="120"/>
        <v>#DIV/0!</v>
      </c>
      <c r="AT69" s="523" t="e">
        <f t="shared" si="120"/>
        <v>#DIV/0!</v>
      </c>
      <c r="AU69" s="163">
        <v>1</v>
      </c>
      <c r="AV69" s="162">
        <v>1</v>
      </c>
      <c r="AW69" s="162"/>
      <c r="AX69" s="162"/>
      <c r="AY69" s="162"/>
      <c r="AZ69" s="199"/>
      <c r="BA69" s="202">
        <f t="shared" si="70"/>
        <v>0</v>
      </c>
      <c r="BB69" s="202">
        <f t="shared" si="71"/>
        <v>0</v>
      </c>
      <c r="BC69" s="202">
        <f t="shared" si="72"/>
        <v>0</v>
      </c>
      <c r="BD69" s="203" t="e">
        <f t="shared" si="96"/>
        <v>#DIV/0!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Residential Demand Cooling Urban Multi -  - New </v>
      </c>
      <c r="D70" s="133" t="str">
        <f>Commodities!$C$57</f>
        <v>COMCUMB</v>
      </c>
      <c r="E70" s="191" t="str">
        <f>E69</f>
        <v>CCUMB</v>
      </c>
      <c r="F70" s="156">
        <v>2011</v>
      </c>
      <c r="G70" s="191">
        <v>2011</v>
      </c>
      <c r="H70" s="49"/>
      <c r="I70" s="49"/>
      <c r="J70" s="49"/>
      <c r="K70" s="49"/>
      <c r="L70" s="49"/>
      <c r="M70" s="49"/>
      <c r="N70" s="49"/>
      <c r="O70" s="49"/>
      <c r="P70" s="49"/>
      <c r="Q70" s="529"/>
      <c r="R70" s="529"/>
      <c r="S70" s="529"/>
      <c r="T70" s="529"/>
      <c r="U70" s="529"/>
      <c r="V70" s="529"/>
      <c r="W70" s="529"/>
      <c r="X70" s="529"/>
      <c r="Y70" s="529"/>
      <c r="Z70" s="529"/>
      <c r="AA70" s="529"/>
      <c r="AB70" s="529"/>
      <c r="AC70" s="529"/>
      <c r="AD70" s="529"/>
      <c r="AE70" s="529"/>
      <c r="AF70" s="529"/>
      <c r="AG70" s="529"/>
      <c r="AH70" s="529"/>
      <c r="AI70" s="524" t="e">
        <f t="shared" ref="AI70:AQ70" si="121">$AI$68*AI26/$AI$24</f>
        <v>#DIV/0!</v>
      </c>
      <c r="AJ70" s="524" t="e">
        <f t="shared" si="121"/>
        <v>#DIV/0!</v>
      </c>
      <c r="AK70" s="524" t="e">
        <f t="shared" si="121"/>
        <v>#DIV/0!</v>
      </c>
      <c r="AL70" s="524" t="e">
        <f t="shared" si="121"/>
        <v>#DIV/0!</v>
      </c>
      <c r="AM70" s="524" t="e">
        <f t="shared" si="121"/>
        <v>#DIV/0!</v>
      </c>
      <c r="AN70" s="524" t="e">
        <f t="shared" si="121"/>
        <v>#DIV/0!</v>
      </c>
      <c r="AO70" s="524" t="e">
        <f t="shared" si="121"/>
        <v>#DIV/0!</v>
      </c>
      <c r="AP70" s="524" t="e">
        <f t="shared" si="121"/>
        <v>#DIV/0!</v>
      </c>
      <c r="AQ70" s="524" t="e">
        <f t="shared" si="121"/>
        <v>#DIV/0!</v>
      </c>
      <c r="AR70" s="524" t="e">
        <f t="shared" ref="AR70:AT70" si="122">$AI$68*AR26/$AI$24</f>
        <v>#DIV/0!</v>
      </c>
      <c r="AS70" s="524" t="e">
        <f t="shared" si="122"/>
        <v>#DIV/0!</v>
      </c>
      <c r="AT70" s="524" t="e">
        <f t="shared" si="122"/>
        <v>#DIV/0!</v>
      </c>
      <c r="AU70" s="163">
        <v>1</v>
      </c>
      <c r="AV70" s="168">
        <v>1</v>
      </c>
      <c r="AW70" s="162">
        <v>100</v>
      </c>
      <c r="AX70" s="162"/>
      <c r="AY70" s="162"/>
      <c r="BA70" s="202">
        <f t="shared" si="70"/>
        <v>0</v>
      </c>
      <c r="BB70" s="202">
        <f t="shared" si="71"/>
        <v>0</v>
      </c>
      <c r="BC70" s="202">
        <f t="shared" si="72"/>
        <v>0</v>
      </c>
      <c r="BD70" s="203" t="e">
        <f t="shared" ref="BD70:BF73" si="123">BA70/AI56</f>
        <v>#DIV/0!</v>
      </c>
      <c r="BE70" s="203" t="e">
        <f t="shared" si="123"/>
        <v>#DIV/0!</v>
      </c>
      <c r="BF70" s="203" t="e">
        <f t="shared" si="123"/>
        <v>#DIV/0!</v>
      </c>
      <c r="BH70" s="201"/>
      <c r="BI70" s="201"/>
      <c r="BJ70" s="201"/>
      <c r="BK70" s="201"/>
      <c r="BL70" s="201"/>
      <c r="BM70" s="201"/>
      <c r="BN70" s="201"/>
      <c r="BO70" s="201"/>
      <c r="BP70" s="201"/>
      <c r="BQ70" s="201"/>
      <c r="BR70" s="201"/>
    </row>
    <row r="71" spans="1:70">
      <c r="B71" s="162"/>
      <c r="C71" s="162"/>
      <c r="D71" s="553"/>
      <c r="E71" s="191"/>
      <c r="F71" s="156">
        <v>2016</v>
      </c>
      <c r="H71" s="49"/>
      <c r="I71" s="49"/>
      <c r="J71" s="49"/>
      <c r="K71" s="49"/>
      <c r="L71" s="49"/>
      <c r="M71" s="49"/>
      <c r="N71" s="49"/>
      <c r="O71" s="49"/>
      <c r="P71" s="49"/>
      <c r="Q71" s="529"/>
      <c r="R71" s="529"/>
      <c r="S71" s="529"/>
      <c r="T71" s="529"/>
      <c r="U71" s="529"/>
      <c r="V71" s="529"/>
      <c r="W71" s="529"/>
      <c r="X71" s="529"/>
      <c r="Y71" s="529"/>
      <c r="Z71" s="529"/>
      <c r="AA71" s="529"/>
      <c r="AB71" s="529"/>
      <c r="AC71" s="529"/>
      <c r="AD71" s="529"/>
      <c r="AE71" s="529"/>
      <c r="AF71" s="529"/>
      <c r="AG71" s="529"/>
      <c r="AH71" s="529"/>
      <c r="AI71" s="524" t="e">
        <f t="shared" ref="AI71:AQ71" si="124">$AI$68*AI27/$AI$24</f>
        <v>#DIV/0!</v>
      </c>
      <c r="AJ71" s="524" t="e">
        <f t="shared" si="124"/>
        <v>#DIV/0!</v>
      </c>
      <c r="AK71" s="524" t="e">
        <f t="shared" si="124"/>
        <v>#DIV/0!</v>
      </c>
      <c r="AL71" s="524" t="e">
        <f t="shared" si="124"/>
        <v>#DIV/0!</v>
      </c>
      <c r="AM71" s="524" t="e">
        <f t="shared" si="124"/>
        <v>#DIV/0!</v>
      </c>
      <c r="AN71" s="524" t="e">
        <f t="shared" si="124"/>
        <v>#DIV/0!</v>
      </c>
      <c r="AO71" s="524" t="e">
        <f t="shared" si="124"/>
        <v>#DIV/0!</v>
      </c>
      <c r="AP71" s="524" t="e">
        <f t="shared" si="124"/>
        <v>#DIV/0!</v>
      </c>
      <c r="AQ71" s="524" t="e">
        <f t="shared" si="124"/>
        <v>#DIV/0!</v>
      </c>
      <c r="AR71" s="524" t="e">
        <f t="shared" ref="AR71:AT71" si="125">$AI$68*AR27/$AI$24</f>
        <v>#DIV/0!</v>
      </c>
      <c r="AS71" s="524" t="e">
        <f t="shared" si="125"/>
        <v>#DIV/0!</v>
      </c>
      <c r="AT71" s="524" t="e">
        <f t="shared" si="125"/>
        <v>#DIV/0!</v>
      </c>
      <c r="AU71" s="163">
        <v>1</v>
      </c>
      <c r="AV71" s="168">
        <v>1</v>
      </c>
      <c r="AW71" s="162">
        <v>100</v>
      </c>
      <c r="AX71" s="162"/>
      <c r="AY71" s="162"/>
      <c r="BA71" s="202">
        <f t="shared" si="70"/>
        <v>0</v>
      </c>
      <c r="BB71" s="202">
        <f t="shared" si="71"/>
        <v>0</v>
      </c>
      <c r="BC71" s="202">
        <f t="shared" si="72"/>
        <v>0</v>
      </c>
      <c r="BD71" s="203" t="e">
        <f t="shared" si="123"/>
        <v>#DIV/0!</v>
      </c>
      <c r="BE71" s="203" t="e">
        <f t="shared" si="123"/>
        <v>#DIV/0!</v>
      </c>
      <c r="BF71" s="203" t="e">
        <f t="shared" si="123"/>
        <v>#DIV/0!</v>
      </c>
      <c r="BH71" s="201"/>
      <c r="BI71" s="201"/>
      <c r="BJ71" s="201"/>
      <c r="BK71" s="201"/>
      <c r="BL71" s="201"/>
      <c r="BM71" s="201"/>
      <c r="BN71" s="201"/>
      <c r="BO71" s="201"/>
      <c r="BP71" s="201"/>
      <c r="BQ71" s="201"/>
      <c r="BR71" s="201"/>
    </row>
    <row r="72" spans="1:70">
      <c r="B72" s="162"/>
      <c r="C72" s="162"/>
      <c r="D72" s="553"/>
      <c r="E72" s="191"/>
      <c r="F72" s="156">
        <v>2021</v>
      </c>
      <c r="H72" s="49"/>
      <c r="I72" s="49"/>
      <c r="J72" s="49"/>
      <c r="K72" s="49"/>
      <c r="L72" s="49"/>
      <c r="M72" s="49"/>
      <c r="N72" s="49"/>
      <c r="O72" s="49"/>
      <c r="P72" s="49"/>
      <c r="Q72" s="529"/>
      <c r="R72" s="529"/>
      <c r="S72" s="529"/>
      <c r="T72" s="529"/>
      <c r="U72" s="529"/>
      <c r="V72" s="529"/>
      <c r="W72" s="529"/>
      <c r="X72" s="529"/>
      <c r="Y72" s="529"/>
      <c r="Z72" s="529"/>
      <c r="AA72" s="529"/>
      <c r="AB72" s="529"/>
      <c r="AC72" s="529"/>
      <c r="AD72" s="529"/>
      <c r="AE72" s="529"/>
      <c r="AF72" s="529"/>
      <c r="AG72" s="529"/>
      <c r="AH72" s="529"/>
      <c r="AI72" s="524" t="e">
        <f t="shared" ref="AI72:AQ72" si="126">$AI$68*AI28/$AI$24</f>
        <v>#DIV/0!</v>
      </c>
      <c r="AJ72" s="524" t="e">
        <f t="shared" si="126"/>
        <v>#DIV/0!</v>
      </c>
      <c r="AK72" s="524" t="e">
        <f t="shared" si="126"/>
        <v>#DIV/0!</v>
      </c>
      <c r="AL72" s="524" t="e">
        <f t="shared" si="126"/>
        <v>#DIV/0!</v>
      </c>
      <c r="AM72" s="524" t="e">
        <f t="shared" si="126"/>
        <v>#DIV/0!</v>
      </c>
      <c r="AN72" s="524" t="e">
        <f t="shared" si="126"/>
        <v>#DIV/0!</v>
      </c>
      <c r="AO72" s="524" t="e">
        <f t="shared" si="126"/>
        <v>#DIV/0!</v>
      </c>
      <c r="AP72" s="524" t="e">
        <f t="shared" si="126"/>
        <v>#DIV/0!</v>
      </c>
      <c r="AQ72" s="524" t="e">
        <f t="shared" si="126"/>
        <v>#DIV/0!</v>
      </c>
      <c r="AR72" s="524" t="e">
        <f t="shared" ref="AR72:AT72" si="127">$AI$68*AR28/$AI$24</f>
        <v>#DIV/0!</v>
      </c>
      <c r="AS72" s="524" t="e">
        <f t="shared" si="127"/>
        <v>#DIV/0!</v>
      </c>
      <c r="AT72" s="524" t="e">
        <f t="shared" si="127"/>
        <v>#DIV/0!</v>
      </c>
      <c r="AU72" s="163">
        <v>1</v>
      </c>
      <c r="AV72" s="168">
        <v>1</v>
      </c>
      <c r="AW72" s="162">
        <v>100</v>
      </c>
      <c r="AX72" s="162"/>
      <c r="AY72" s="162"/>
      <c r="BA72" s="202">
        <f t="shared" si="70"/>
        <v>0</v>
      </c>
      <c r="BB72" s="202">
        <f t="shared" si="71"/>
        <v>0</v>
      </c>
      <c r="BC72" s="202">
        <f t="shared" si="72"/>
        <v>0</v>
      </c>
      <c r="BD72" s="203" t="e">
        <f t="shared" si="123"/>
        <v>#DIV/0!</v>
      </c>
      <c r="BE72" s="203" t="e">
        <f t="shared" si="123"/>
        <v>#DIV/0!</v>
      </c>
      <c r="BF72" s="203" t="e">
        <f t="shared" si="123"/>
        <v>#DIV/0!</v>
      </c>
      <c r="BH72" s="201"/>
      <c r="BI72" s="201"/>
      <c r="BJ72" s="201"/>
      <c r="BK72" s="201"/>
      <c r="BL72" s="201"/>
      <c r="BM72" s="201"/>
      <c r="BN72" s="201"/>
      <c r="BO72" s="201"/>
      <c r="BP72" s="201"/>
      <c r="BQ72" s="201"/>
      <c r="BR72" s="201"/>
    </row>
    <row r="73" spans="1:70" ht="13" thickBot="1">
      <c r="B73" s="162"/>
      <c r="C73" s="162"/>
      <c r="D73" s="553"/>
      <c r="E73" s="212"/>
      <c r="F73" s="164">
        <v>2031</v>
      </c>
      <c r="G73" s="164"/>
      <c r="H73" s="526"/>
      <c r="I73" s="526"/>
      <c r="J73" s="526"/>
      <c r="K73" s="526"/>
      <c r="L73" s="526"/>
      <c r="M73" s="526"/>
      <c r="N73" s="526"/>
      <c r="O73" s="526"/>
      <c r="P73" s="526"/>
      <c r="Q73" s="530"/>
      <c r="R73" s="530"/>
      <c r="S73" s="530"/>
      <c r="T73" s="530"/>
      <c r="U73" s="530"/>
      <c r="V73" s="530"/>
      <c r="W73" s="530"/>
      <c r="X73" s="530"/>
      <c r="Y73" s="530"/>
      <c r="Z73" s="530"/>
      <c r="AA73" s="530"/>
      <c r="AB73" s="530"/>
      <c r="AC73" s="530"/>
      <c r="AD73" s="530"/>
      <c r="AE73" s="530"/>
      <c r="AF73" s="530"/>
      <c r="AG73" s="530"/>
      <c r="AH73" s="530"/>
      <c r="AI73" s="524" t="e">
        <f t="shared" ref="AI73:AQ73" si="128">$AI$68*AI29/$AI$24</f>
        <v>#DIV/0!</v>
      </c>
      <c r="AJ73" s="524" t="e">
        <f t="shared" si="128"/>
        <v>#DIV/0!</v>
      </c>
      <c r="AK73" s="524" t="e">
        <f t="shared" si="128"/>
        <v>#DIV/0!</v>
      </c>
      <c r="AL73" s="524" t="e">
        <f t="shared" si="128"/>
        <v>#DIV/0!</v>
      </c>
      <c r="AM73" s="524" t="e">
        <f t="shared" si="128"/>
        <v>#DIV/0!</v>
      </c>
      <c r="AN73" s="524" t="e">
        <f t="shared" si="128"/>
        <v>#DIV/0!</v>
      </c>
      <c r="AO73" s="524" t="e">
        <f t="shared" si="128"/>
        <v>#DIV/0!</v>
      </c>
      <c r="AP73" s="524" t="e">
        <f t="shared" si="128"/>
        <v>#DIV/0!</v>
      </c>
      <c r="AQ73" s="524" t="e">
        <f t="shared" si="128"/>
        <v>#DIV/0!</v>
      </c>
      <c r="AR73" s="524" t="e">
        <f t="shared" ref="AR73:AT73" si="129">$AI$68*AR29/$AI$24</f>
        <v>#DIV/0!</v>
      </c>
      <c r="AS73" s="524" t="e">
        <f t="shared" si="129"/>
        <v>#DIV/0!</v>
      </c>
      <c r="AT73" s="524" t="e">
        <f t="shared" si="129"/>
        <v>#DIV/0!</v>
      </c>
      <c r="AU73" s="163">
        <v>1</v>
      </c>
      <c r="AV73" s="168">
        <v>1</v>
      </c>
      <c r="AW73" s="162">
        <v>100</v>
      </c>
      <c r="AX73" s="162"/>
      <c r="AY73" s="162"/>
      <c r="BA73" s="202">
        <f t="shared" si="70"/>
        <v>0</v>
      </c>
      <c r="BB73" s="202">
        <f t="shared" si="71"/>
        <v>0</v>
      </c>
      <c r="BC73" s="202">
        <f t="shared" si="72"/>
        <v>0</v>
      </c>
      <c r="BD73" s="203" t="e">
        <f t="shared" si="123"/>
        <v>#DIV/0!</v>
      </c>
      <c r="BE73" s="203" t="e">
        <f t="shared" si="123"/>
        <v>#DIV/0!</v>
      </c>
      <c r="BF73" s="203" t="e">
        <f t="shared" si="123"/>
        <v>#DIV/0!</v>
      </c>
      <c r="BH73" s="201"/>
      <c r="BI73" s="201"/>
      <c r="BJ73" s="201"/>
      <c r="BK73" s="201"/>
      <c r="BL73" s="201"/>
      <c r="BM73" s="201"/>
      <c r="BN73" s="201"/>
      <c r="BO73" s="201"/>
      <c r="BP73" s="201"/>
      <c r="BQ73" s="201"/>
      <c r="BR73" s="201"/>
    </row>
    <row r="74" spans="1:70" ht="13" thickBot="1">
      <c r="B74" s="165" t="str">
        <f>Processes!D35</f>
        <v>CDCRML</v>
      </c>
      <c r="C74" s="165" t="str">
        <f>Processes!E35</f>
        <v xml:space="preserve">Residential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9">
        <f t="shared" ref="Q74:S76" si="130">H74*0.6</f>
        <v>0</v>
      </c>
      <c r="R74" s="529">
        <f t="shared" si="130"/>
        <v>0</v>
      </c>
      <c r="S74" s="529">
        <f t="shared" si="130"/>
        <v>0</v>
      </c>
      <c r="T74" s="529">
        <f t="shared" ref="T74:V76" si="131">H74*0.99</f>
        <v>0</v>
      </c>
      <c r="U74" s="529">
        <f t="shared" si="131"/>
        <v>0</v>
      </c>
      <c r="V74" s="529">
        <f t="shared" si="131"/>
        <v>0</v>
      </c>
      <c r="W74" s="529">
        <f t="shared" ref="W74:W76" si="132">K74*0.99</f>
        <v>0</v>
      </c>
      <c r="X74" s="529">
        <f t="shared" ref="X74:X76" si="133">L74*0.99</f>
        <v>0</v>
      </c>
      <c r="Y74" s="529">
        <f t="shared" ref="Y74:Y76" si="134">M74*0.99</f>
        <v>0</v>
      </c>
      <c r="Z74" s="529">
        <f t="shared" ref="Z74:Z76" si="135">N74*0.99</f>
        <v>0</v>
      </c>
      <c r="AA74" s="529">
        <f t="shared" ref="AA74:AA76" si="136">O74*0.99</f>
        <v>0</v>
      </c>
      <c r="AB74" s="529">
        <f t="shared" ref="AB74:AB76" si="137">P74*0.99</f>
        <v>0</v>
      </c>
      <c r="AC74" s="529">
        <f t="shared" ref="AC74:AH76" si="138">Q74*0.99</f>
        <v>0</v>
      </c>
      <c r="AD74" s="529">
        <f t="shared" si="138"/>
        <v>0</v>
      </c>
      <c r="AE74" s="529">
        <f t="shared" si="138"/>
        <v>0</v>
      </c>
      <c r="AF74" s="529">
        <f t="shared" si="138"/>
        <v>0</v>
      </c>
      <c r="AG74" s="529">
        <f t="shared" si="138"/>
        <v>0</v>
      </c>
      <c r="AH74" s="529">
        <f t="shared" si="138"/>
        <v>0</v>
      </c>
      <c r="AI74" s="522" t="e">
        <f t="shared" ref="AI74:AT74" si="139">AI75/2</f>
        <v>#DIV/0!</v>
      </c>
      <c r="AJ74" s="522" t="e">
        <f t="shared" si="139"/>
        <v>#DIV/0!</v>
      </c>
      <c r="AK74" s="522" t="e">
        <f t="shared" si="139"/>
        <v>#DIV/0!</v>
      </c>
      <c r="AL74" s="522">
        <f t="shared" si="139"/>
        <v>406.12899999999996</v>
      </c>
      <c r="AM74" s="522" t="e">
        <f t="shared" si="139"/>
        <v>#DIV/0!</v>
      </c>
      <c r="AN74" s="522" t="e">
        <f t="shared" si="139"/>
        <v>#DIV/0!</v>
      </c>
      <c r="AO74" s="522">
        <f t="shared" si="139"/>
        <v>434.66199999999998</v>
      </c>
      <c r="AP74" s="522" t="e">
        <f t="shared" si="139"/>
        <v>#DIV/0!</v>
      </c>
      <c r="AQ74" s="522" t="e">
        <f t="shared" si="139"/>
        <v>#DIV/0!</v>
      </c>
      <c r="AR74" s="522">
        <f t="shared" si="139"/>
        <v>434.66199999999998</v>
      </c>
      <c r="AS74" s="522" t="e">
        <f t="shared" si="139"/>
        <v>#DIV/0!</v>
      </c>
      <c r="AT74" s="522" t="e">
        <f t="shared" si="139"/>
        <v>#DIV/0!</v>
      </c>
      <c r="AU74" s="210">
        <v>1</v>
      </c>
      <c r="AV74" s="208">
        <v>1</v>
      </c>
      <c r="AW74" s="160"/>
      <c r="AX74" s="162"/>
      <c r="AY74" s="162"/>
      <c r="AZ74" s="199"/>
      <c r="BA74" s="202">
        <f t="shared" si="70"/>
        <v>0</v>
      </c>
      <c r="BB74" s="202">
        <f t="shared" si="71"/>
        <v>0</v>
      </c>
      <c r="BC74" s="202">
        <f t="shared" si="72"/>
        <v>0</v>
      </c>
      <c r="BD74" s="203" t="e">
        <f t="shared" ref="BD74:BF80" si="140">BA74/AI74</f>
        <v>#DIV/0!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Residential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75.62</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78</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79.17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9">
        <f t="shared" si="130"/>
        <v>45.372</v>
      </c>
      <c r="R75" s="529">
        <f t="shared" si="130"/>
        <v>0</v>
      </c>
      <c r="S75" s="529">
        <f t="shared" si="130"/>
        <v>0</v>
      </c>
      <c r="T75" s="529">
        <f t="shared" si="131"/>
        <v>74.863799999999998</v>
      </c>
      <c r="U75" s="529">
        <f t="shared" si="131"/>
        <v>0</v>
      </c>
      <c r="V75" s="529">
        <f t="shared" si="131"/>
        <v>0</v>
      </c>
      <c r="W75" s="529">
        <f t="shared" si="132"/>
        <v>77.22</v>
      </c>
      <c r="X75" s="529">
        <f t="shared" si="133"/>
        <v>0</v>
      </c>
      <c r="Y75" s="529">
        <f t="shared" si="134"/>
        <v>0</v>
      </c>
      <c r="Z75" s="529">
        <f t="shared" si="135"/>
        <v>78.378299999999996</v>
      </c>
      <c r="AA75" s="529">
        <f t="shared" si="136"/>
        <v>0</v>
      </c>
      <c r="AB75" s="529">
        <f t="shared" si="137"/>
        <v>0</v>
      </c>
      <c r="AC75" s="529">
        <f t="shared" si="138"/>
        <v>44.918280000000003</v>
      </c>
      <c r="AD75" s="529">
        <f t="shared" si="138"/>
        <v>0</v>
      </c>
      <c r="AE75" s="529">
        <f t="shared" si="138"/>
        <v>0</v>
      </c>
      <c r="AF75" s="529">
        <f t="shared" si="138"/>
        <v>74.115161999999998</v>
      </c>
      <c r="AG75" s="529">
        <f t="shared" si="138"/>
        <v>0</v>
      </c>
      <c r="AH75" s="529">
        <f t="shared" si="138"/>
        <v>0</v>
      </c>
      <c r="AI75" s="523" t="e">
        <f>ROUNDUP(SUM(H74:H80)/Cooling!AA10,3)</f>
        <v>#DIV/0!</v>
      </c>
      <c r="AJ75" s="523" t="e">
        <f>ROUNDUP(SUM(I74:I80)/Cooling!AB10,3)</f>
        <v>#DIV/0!</v>
      </c>
      <c r="AK75" s="523" t="e">
        <f>ROUNDUP(SUM(J74:J80)/Cooling!AC10,3)</f>
        <v>#DIV/0!</v>
      </c>
      <c r="AL75" s="523">
        <f>ROUNDUP(SUM(K74:K80)/Cooling!AA14,3)</f>
        <v>812.25799999999992</v>
      </c>
      <c r="AM75" s="523" t="e">
        <f>ROUNDUP(SUM(L74:L80)/Cooling!AB14,3)</f>
        <v>#DIV/0!</v>
      </c>
      <c r="AN75" s="523" t="e">
        <f>ROUNDUP(SUM(M74:M80)/Cooling!AC14,3)</f>
        <v>#DIV/0!</v>
      </c>
      <c r="AO75" s="523">
        <f>ROUNDUP(SUM(N74:N80)/Cooling!AA18,3)</f>
        <v>869.32399999999996</v>
      </c>
      <c r="AP75" s="523" t="e">
        <f>ROUNDUP(SUM(O74:O80)/Cooling!AB18,3)</f>
        <v>#DIV/0!</v>
      </c>
      <c r="AQ75" s="523" t="e">
        <f>ROUNDUP(SUM(P74:P80)/Cooling!AC18,3)</f>
        <v>#DIV/0!</v>
      </c>
      <c r="AR75" s="523">
        <f>AO75</f>
        <v>869.32399999999996</v>
      </c>
      <c r="AS75" s="523" t="e">
        <f>AP75</f>
        <v>#DIV/0!</v>
      </c>
      <c r="AT75" s="523" t="e">
        <f>AQ75</f>
        <v>#DIV/0!</v>
      </c>
      <c r="AU75" s="163">
        <v>1</v>
      </c>
      <c r="AV75" s="162">
        <v>1</v>
      </c>
      <c r="AW75" s="160"/>
      <c r="AX75" s="162"/>
      <c r="AY75" s="162"/>
      <c r="AZ75" s="199"/>
      <c r="BA75" s="202">
        <f t="shared" si="70"/>
        <v>75.62</v>
      </c>
      <c r="BB75" s="202">
        <f t="shared" si="71"/>
        <v>0</v>
      </c>
      <c r="BC75" s="202">
        <f t="shared" si="72"/>
        <v>0</v>
      </c>
      <c r="BD75" s="203" t="e">
        <f t="shared" si="140"/>
        <v>#DIV/0!</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Residential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9">
        <f t="shared" si="130"/>
        <v>0</v>
      </c>
      <c r="R76" s="529">
        <f t="shared" si="130"/>
        <v>0</v>
      </c>
      <c r="S76" s="529">
        <f t="shared" si="130"/>
        <v>0</v>
      </c>
      <c r="T76" s="529">
        <f t="shared" si="131"/>
        <v>0</v>
      </c>
      <c r="U76" s="529">
        <f t="shared" si="131"/>
        <v>0</v>
      </c>
      <c r="V76" s="529">
        <f t="shared" si="131"/>
        <v>0</v>
      </c>
      <c r="W76" s="529">
        <f t="shared" si="132"/>
        <v>0</v>
      </c>
      <c r="X76" s="529">
        <f t="shared" si="133"/>
        <v>0</v>
      </c>
      <c r="Y76" s="529">
        <f t="shared" si="134"/>
        <v>0</v>
      </c>
      <c r="Z76" s="529">
        <f t="shared" si="135"/>
        <v>0</v>
      </c>
      <c r="AA76" s="529">
        <f t="shared" si="136"/>
        <v>0</v>
      </c>
      <c r="AB76" s="529">
        <f t="shared" si="137"/>
        <v>0</v>
      </c>
      <c r="AC76" s="529">
        <f t="shared" si="138"/>
        <v>0</v>
      </c>
      <c r="AD76" s="529">
        <f t="shared" si="138"/>
        <v>0</v>
      </c>
      <c r="AE76" s="529">
        <f t="shared" si="138"/>
        <v>0</v>
      </c>
      <c r="AF76" s="529">
        <f t="shared" si="138"/>
        <v>0</v>
      </c>
      <c r="AG76" s="529">
        <f t="shared" si="138"/>
        <v>0</v>
      </c>
      <c r="AH76" s="529">
        <f t="shared" si="138"/>
        <v>0</v>
      </c>
      <c r="AI76" s="523" t="e">
        <f t="shared" ref="AI76:AQ76" si="141">AI75/2+AI77/2</f>
        <v>#DIV/0!</v>
      </c>
      <c r="AJ76" s="523" t="e">
        <f t="shared" si="141"/>
        <v>#DIV/0!</v>
      </c>
      <c r="AK76" s="523" t="e">
        <f t="shared" si="141"/>
        <v>#DIV/0!</v>
      </c>
      <c r="AL76" s="523" t="e">
        <f t="shared" si="141"/>
        <v>#DIV/0!</v>
      </c>
      <c r="AM76" s="523" t="e">
        <f t="shared" si="141"/>
        <v>#DIV/0!</v>
      </c>
      <c r="AN76" s="523" t="e">
        <f t="shared" si="141"/>
        <v>#DIV/0!</v>
      </c>
      <c r="AO76" s="523" t="e">
        <f t="shared" si="141"/>
        <v>#DIV/0!</v>
      </c>
      <c r="AP76" s="523" t="e">
        <f t="shared" si="141"/>
        <v>#DIV/0!</v>
      </c>
      <c r="AQ76" s="523" t="e">
        <f t="shared" si="141"/>
        <v>#DIV/0!</v>
      </c>
      <c r="AR76" s="523" t="e">
        <f t="shared" ref="AR76:AT76" si="142">AR75/2+AR77/2</f>
        <v>#DIV/0!</v>
      </c>
      <c r="AS76" s="523" t="e">
        <f t="shared" si="142"/>
        <v>#DIV/0!</v>
      </c>
      <c r="AT76" s="523" t="e">
        <f t="shared" si="142"/>
        <v>#DIV/0!</v>
      </c>
      <c r="AU76" s="163">
        <v>1</v>
      </c>
      <c r="AV76" s="162">
        <v>1</v>
      </c>
      <c r="AW76" s="162"/>
      <c r="AX76" s="162"/>
      <c r="AY76" s="162"/>
      <c r="AZ76" s="199"/>
      <c r="BA76" s="202">
        <f t="shared" si="70"/>
        <v>0</v>
      </c>
      <c r="BB76" s="202">
        <f t="shared" si="71"/>
        <v>0</v>
      </c>
      <c r="BC76" s="202">
        <f t="shared" si="72"/>
        <v>0</v>
      </c>
      <c r="BD76" s="203" t="e">
        <f t="shared" si="140"/>
        <v>#DIV/0!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Residential Demand Cooling Rural Multi -  - New </v>
      </c>
      <c r="D77" s="133" t="str">
        <f>Commodities!$C$58</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4" t="e">
        <f t="shared" ref="AI77:AQ77" si="143">$AI$75*AI33/$AI$31</f>
        <v>#DIV/0!</v>
      </c>
      <c r="AJ77" s="524" t="e">
        <f t="shared" si="143"/>
        <v>#DIV/0!</v>
      </c>
      <c r="AK77" s="524" t="e">
        <f t="shared" si="143"/>
        <v>#DIV/0!</v>
      </c>
      <c r="AL77" s="524" t="e">
        <f t="shared" si="143"/>
        <v>#DIV/0!</v>
      </c>
      <c r="AM77" s="524" t="e">
        <f t="shared" si="143"/>
        <v>#DIV/0!</v>
      </c>
      <c r="AN77" s="524" t="e">
        <f t="shared" si="143"/>
        <v>#DIV/0!</v>
      </c>
      <c r="AO77" s="524" t="e">
        <f t="shared" si="143"/>
        <v>#DIV/0!</v>
      </c>
      <c r="AP77" s="524" t="e">
        <f t="shared" si="143"/>
        <v>#DIV/0!</v>
      </c>
      <c r="AQ77" s="524" t="e">
        <f t="shared" si="143"/>
        <v>#DIV/0!</v>
      </c>
      <c r="AR77" s="524" t="e">
        <f t="shared" ref="AR77:AT77" si="144">$AI$75*AR33/$AI$31</f>
        <v>#DIV/0!</v>
      </c>
      <c r="AS77" s="524" t="e">
        <f t="shared" si="144"/>
        <v>#DIV/0!</v>
      </c>
      <c r="AT77" s="524" t="e">
        <f t="shared" si="144"/>
        <v>#DIV/0!</v>
      </c>
      <c r="AU77" s="163">
        <v>1</v>
      </c>
      <c r="AV77" s="168">
        <v>1</v>
      </c>
      <c r="AW77" s="162">
        <v>100</v>
      </c>
      <c r="AX77" s="162"/>
      <c r="AY77" s="162"/>
      <c r="BA77" s="202">
        <f t="shared" si="70"/>
        <v>0</v>
      </c>
      <c r="BB77" s="202">
        <f t="shared" si="71"/>
        <v>0</v>
      </c>
      <c r="BC77" s="202">
        <f t="shared" si="72"/>
        <v>0</v>
      </c>
      <c r="BD77" s="203" t="e">
        <f t="shared" si="140"/>
        <v>#DIV/0!</v>
      </c>
      <c r="BE77" s="203" t="e">
        <f t="shared" si="140"/>
        <v>#DIV/0!</v>
      </c>
      <c r="BF77" s="203" t="e">
        <f t="shared" si="140"/>
        <v>#DIV/0!</v>
      </c>
      <c r="BH77" s="201"/>
      <c r="BI77" s="201"/>
      <c r="BJ77" s="201"/>
      <c r="BK77" s="201"/>
      <c r="BL77" s="201"/>
      <c r="BM77" s="201"/>
      <c r="BN77" s="201"/>
      <c r="BO77" s="201"/>
      <c r="BP77" s="201"/>
      <c r="BQ77" s="201"/>
      <c r="BR77" s="201"/>
    </row>
    <row r="78" spans="1:70">
      <c r="B78" s="162"/>
      <c r="C78" s="162"/>
      <c r="D78" s="553"/>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4" t="e">
        <f t="shared" ref="AI78:AQ78" si="145">$AI$75*AI34/$AI$31</f>
        <v>#DIV/0!</v>
      </c>
      <c r="AJ78" s="524" t="e">
        <f t="shared" si="145"/>
        <v>#DIV/0!</v>
      </c>
      <c r="AK78" s="524" t="e">
        <f t="shared" si="145"/>
        <v>#DIV/0!</v>
      </c>
      <c r="AL78" s="524" t="e">
        <f t="shared" si="145"/>
        <v>#DIV/0!</v>
      </c>
      <c r="AM78" s="524" t="e">
        <f t="shared" si="145"/>
        <v>#DIV/0!</v>
      </c>
      <c r="AN78" s="524" t="e">
        <f t="shared" si="145"/>
        <v>#DIV/0!</v>
      </c>
      <c r="AO78" s="524" t="e">
        <f t="shared" si="145"/>
        <v>#DIV/0!</v>
      </c>
      <c r="AP78" s="524" t="e">
        <f t="shared" si="145"/>
        <v>#DIV/0!</v>
      </c>
      <c r="AQ78" s="524" t="e">
        <f t="shared" si="145"/>
        <v>#DIV/0!</v>
      </c>
      <c r="AR78" s="524" t="e">
        <f t="shared" ref="AR78:AT78" si="146">$AI$75*AR34/$AI$31</f>
        <v>#DIV/0!</v>
      </c>
      <c r="AS78" s="524" t="e">
        <f t="shared" si="146"/>
        <v>#DIV/0!</v>
      </c>
      <c r="AT78" s="524" t="e">
        <f t="shared" si="146"/>
        <v>#DIV/0!</v>
      </c>
      <c r="AU78" s="163">
        <v>1</v>
      </c>
      <c r="AV78" s="168">
        <v>1</v>
      </c>
      <c r="AW78" s="162">
        <v>100</v>
      </c>
      <c r="AX78" s="162"/>
      <c r="AY78" s="162"/>
      <c r="BA78" s="202">
        <f t="shared" si="70"/>
        <v>0</v>
      </c>
      <c r="BB78" s="202">
        <f t="shared" si="71"/>
        <v>0</v>
      </c>
      <c r="BC78" s="202">
        <f t="shared" si="72"/>
        <v>0</v>
      </c>
      <c r="BD78" s="203" t="e">
        <f t="shared" si="140"/>
        <v>#DIV/0!</v>
      </c>
      <c r="BE78" s="203" t="e">
        <f t="shared" si="140"/>
        <v>#DIV/0!</v>
      </c>
      <c r="BF78" s="203" t="e">
        <f t="shared" si="140"/>
        <v>#DIV/0!</v>
      </c>
      <c r="BH78" s="201"/>
      <c r="BI78" s="201"/>
      <c r="BJ78" s="201"/>
      <c r="BK78" s="201"/>
      <c r="BL78" s="201"/>
      <c r="BM78" s="201"/>
      <c r="BN78" s="201"/>
      <c r="BO78" s="201"/>
      <c r="BP78" s="201"/>
      <c r="BQ78" s="201"/>
      <c r="BR78" s="201"/>
    </row>
    <row r="79" spans="1:70">
      <c r="B79" s="162"/>
      <c r="C79" s="162"/>
      <c r="D79" s="553"/>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4" t="e">
        <f t="shared" ref="AI79:AQ79" si="147">$AI$75*AI35/$AI$31</f>
        <v>#DIV/0!</v>
      </c>
      <c r="AJ79" s="524" t="e">
        <f t="shared" si="147"/>
        <v>#DIV/0!</v>
      </c>
      <c r="AK79" s="524" t="e">
        <f t="shared" si="147"/>
        <v>#DIV/0!</v>
      </c>
      <c r="AL79" s="524" t="e">
        <f t="shared" si="147"/>
        <v>#DIV/0!</v>
      </c>
      <c r="AM79" s="524" t="e">
        <f t="shared" si="147"/>
        <v>#DIV/0!</v>
      </c>
      <c r="AN79" s="524" t="e">
        <f t="shared" si="147"/>
        <v>#DIV/0!</v>
      </c>
      <c r="AO79" s="524" t="e">
        <f t="shared" si="147"/>
        <v>#DIV/0!</v>
      </c>
      <c r="AP79" s="524" t="e">
        <f t="shared" si="147"/>
        <v>#DIV/0!</v>
      </c>
      <c r="AQ79" s="524" t="e">
        <f t="shared" si="147"/>
        <v>#DIV/0!</v>
      </c>
      <c r="AR79" s="524" t="e">
        <f t="shared" ref="AR79:AT79" si="148">$AI$75*AR35/$AI$31</f>
        <v>#DIV/0!</v>
      </c>
      <c r="AS79" s="524" t="e">
        <f t="shared" si="148"/>
        <v>#DIV/0!</v>
      </c>
      <c r="AT79" s="524" t="e">
        <f t="shared" si="148"/>
        <v>#DIV/0!</v>
      </c>
      <c r="AU79" s="163">
        <v>1</v>
      </c>
      <c r="AV79" s="168">
        <v>1</v>
      </c>
      <c r="AW79" s="162">
        <v>100</v>
      </c>
      <c r="AX79" s="162"/>
      <c r="AY79" s="162"/>
      <c r="BA79" s="202">
        <f t="shared" si="70"/>
        <v>0</v>
      </c>
      <c r="BB79" s="202">
        <f t="shared" si="71"/>
        <v>0</v>
      </c>
      <c r="BC79" s="202">
        <f t="shared" si="72"/>
        <v>0</v>
      </c>
      <c r="BD79" s="203" t="e">
        <f t="shared" si="140"/>
        <v>#DIV/0!</v>
      </c>
      <c r="BE79" s="203" t="e">
        <f t="shared" si="140"/>
        <v>#DIV/0!</v>
      </c>
      <c r="BF79" s="203" t="e">
        <f t="shared" si="140"/>
        <v>#DIV/0!</v>
      </c>
      <c r="BH79" s="201"/>
      <c r="BI79" s="201"/>
      <c r="BJ79" s="201"/>
      <c r="BK79" s="201"/>
      <c r="BL79" s="201"/>
      <c r="BM79" s="201"/>
      <c r="BN79" s="201"/>
      <c r="BO79" s="201"/>
      <c r="BP79" s="201"/>
      <c r="BQ79" s="201"/>
      <c r="BR79" s="201"/>
    </row>
    <row r="80" spans="1:70">
      <c r="B80" s="211"/>
      <c r="C80" s="211"/>
      <c r="D80" s="554"/>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4" t="e">
        <f t="shared" ref="AI80:AQ80" si="149">$AI$75*AI36/$AI$31</f>
        <v>#DIV/0!</v>
      </c>
      <c r="AJ80" s="524" t="e">
        <f t="shared" si="149"/>
        <v>#DIV/0!</v>
      </c>
      <c r="AK80" s="524" t="e">
        <f t="shared" si="149"/>
        <v>#DIV/0!</v>
      </c>
      <c r="AL80" s="524" t="e">
        <f t="shared" si="149"/>
        <v>#DIV/0!</v>
      </c>
      <c r="AM80" s="524" t="e">
        <f t="shared" si="149"/>
        <v>#DIV/0!</v>
      </c>
      <c r="AN80" s="524" t="e">
        <f t="shared" si="149"/>
        <v>#DIV/0!</v>
      </c>
      <c r="AO80" s="524" t="e">
        <f t="shared" si="149"/>
        <v>#DIV/0!</v>
      </c>
      <c r="AP80" s="524" t="e">
        <f t="shared" si="149"/>
        <v>#DIV/0!</v>
      </c>
      <c r="AQ80" s="524" t="e">
        <f t="shared" si="149"/>
        <v>#DIV/0!</v>
      </c>
      <c r="AR80" s="524" t="e">
        <f t="shared" ref="AR80:AT80" si="150">$AI$75*AR36/$AI$31</f>
        <v>#DIV/0!</v>
      </c>
      <c r="AS80" s="524" t="e">
        <f t="shared" si="150"/>
        <v>#DIV/0!</v>
      </c>
      <c r="AT80" s="524" t="e">
        <f t="shared" si="150"/>
        <v>#DIV/0!</v>
      </c>
      <c r="AU80" s="213">
        <v>1</v>
      </c>
      <c r="AV80" s="214">
        <v>1</v>
      </c>
      <c r="AW80" s="211">
        <v>100</v>
      </c>
      <c r="AX80" s="162"/>
      <c r="AY80" s="162"/>
      <c r="BA80" s="202">
        <f t="shared" si="70"/>
        <v>0</v>
      </c>
      <c r="BB80" s="202">
        <f t="shared" si="71"/>
        <v>0</v>
      </c>
      <c r="BC80" s="202">
        <f t="shared" si="72"/>
        <v>0</v>
      </c>
      <c r="BD80" s="219" t="e">
        <f t="shared" si="140"/>
        <v>#DIV/0!</v>
      </c>
      <c r="BE80" s="219" t="e">
        <f t="shared" si="140"/>
        <v>#DIV/0!</v>
      </c>
      <c r="BF80" s="219" t="e">
        <f t="shared" si="140"/>
        <v>#DIV/0!</v>
      </c>
      <c r="BH80" s="201"/>
      <c r="BI80" s="201"/>
      <c r="BJ80" s="201"/>
      <c r="BK80" s="201"/>
      <c r="BL80" s="201"/>
      <c r="BM80" s="201"/>
      <c r="BN80" s="201"/>
      <c r="BO80" s="201"/>
      <c r="BP80" s="201"/>
      <c r="BQ80" s="201"/>
      <c r="BR80" s="201"/>
    </row>
    <row r="81" spans="2:72" ht="13">
      <c r="B81" s="162"/>
      <c r="C81" s="162"/>
      <c r="D81" s="553"/>
      <c r="E81" s="191"/>
      <c r="F81" s="191"/>
      <c r="G81" s="191"/>
      <c r="AC81" s="156"/>
      <c r="AD81" s="156"/>
      <c r="AE81" s="156"/>
      <c r="AF81" s="190"/>
      <c r="AG81" s="190"/>
      <c r="AH81" s="190"/>
      <c r="AI81" s="190"/>
      <c r="AJ81" s="190"/>
      <c r="AK81" s="190"/>
      <c r="AL81" s="190"/>
      <c r="AM81" s="190"/>
      <c r="AN81" s="190"/>
      <c r="AZ81" s="287" t="s">
        <v>176</v>
      </c>
      <c r="BD81" s="289">
        <f>SUM(Cooling!AA7:AA8)</f>
        <v>0</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3"/>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0</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3"/>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175</v>
      </c>
      <c r="BA83"/>
      <c r="BB83"/>
      <c r="BC83"/>
      <c r="BD83" s="283" t="e">
        <f>SUM(BD53:BD66)</f>
        <v>#DIV/0!</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3"/>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t="e">
        <f>SUM(BD67:BD80)</f>
        <v>#DIV/0!</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3"/>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t="e">
        <f>BD81-BD83</f>
        <v>#DIV/0!</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3"/>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3"/>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3"/>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3"/>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3"/>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3"/>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3"/>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3"/>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3"/>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3"/>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3"/>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3"/>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3"/>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3"/>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3"/>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3"/>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3"/>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3"/>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3"/>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3"/>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3"/>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3"/>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3"/>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3"/>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3"/>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3"/>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3"/>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3"/>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3"/>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3"/>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3"/>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3"/>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3"/>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3"/>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3"/>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3"/>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3"/>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3"/>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3"/>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3"/>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3"/>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3"/>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3"/>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3"/>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3"/>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3"/>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3"/>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3"/>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3"/>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3"/>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3"/>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3"/>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3"/>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3"/>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3"/>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3"/>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3"/>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3"/>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3"/>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3"/>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3"/>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3"/>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3"/>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3"/>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3"/>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3"/>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3"/>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3"/>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3"/>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3"/>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3"/>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3"/>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3"/>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3"/>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3"/>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3"/>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3"/>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3"/>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3"/>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3"/>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3"/>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3"/>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3"/>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3"/>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3"/>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3"/>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3"/>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3"/>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3"/>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3"/>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3"/>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3"/>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3"/>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3"/>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3"/>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3"/>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3"/>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3"/>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3"/>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3"/>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3"/>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3"/>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44" zoomScaleNormal="100" workbookViewId="0">
      <selection activeCell="F65" sqref="F65"/>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121</v>
      </c>
      <c r="D4" s="103" t="s">
        <v>27</v>
      </c>
      <c r="E4" s="418" t="s">
        <v>94</v>
      </c>
      <c r="F4" s="197" t="s">
        <v>970</v>
      </c>
      <c r="G4" s="197" t="s">
        <v>971</v>
      </c>
      <c r="H4" s="197" t="s">
        <v>985</v>
      </c>
      <c r="I4"/>
      <c r="J4"/>
      <c r="AH4"/>
      <c r="AI4"/>
      <c r="AJ4"/>
      <c r="AK4"/>
      <c r="AL4"/>
      <c r="AM4"/>
      <c r="AN4"/>
      <c r="AO4"/>
      <c r="AP4"/>
      <c r="AQ4"/>
    </row>
    <row r="5" spans="2:43">
      <c r="B5" s="7" t="str">
        <f>Commodities!C7</f>
        <v>CHUDB</v>
      </c>
      <c r="C5" s="467" t="str">
        <f>Commodities!D7</f>
        <v>Residential Heating Urban Detached Building  Demand</v>
      </c>
      <c r="D5" s="467" t="str">
        <f>Commodities!E7</f>
        <v>Mm2</v>
      </c>
      <c r="E5" s="468">
        <v>2010</v>
      </c>
      <c r="F5" s="9">
        <f>F41</f>
        <v>904.62325067837492</v>
      </c>
      <c r="G5" s="9">
        <f t="shared" ref="G5:H5" si="1">G41</f>
        <v>0</v>
      </c>
      <c r="H5" s="9">
        <f t="shared" si="1"/>
        <v>0</v>
      </c>
    </row>
    <row r="6" spans="2:43">
      <c r="B6" s="7" t="str">
        <f>Commodities!C8</f>
        <v>CHRDB</v>
      </c>
      <c r="C6" s="467" t="str">
        <f>Commodities!D8</f>
        <v>Residential Heating Rural Detached Building  Demand</v>
      </c>
      <c r="D6" s="467" t="str">
        <f>Commodities!E8</f>
        <v>Mm2</v>
      </c>
      <c r="E6" s="468">
        <v>2010</v>
      </c>
      <c r="F6" s="9">
        <f t="shared" ref="F6:H6" si="2">F42</f>
        <v>1467.629689543131</v>
      </c>
      <c r="G6" s="9">
        <f t="shared" si="2"/>
        <v>0</v>
      </c>
      <c r="H6" s="9">
        <f t="shared" si="2"/>
        <v>0</v>
      </c>
    </row>
    <row r="7" spans="2:43">
      <c r="B7" s="7" t="str">
        <f>Commodities!C9</f>
        <v>CHUMB</v>
      </c>
      <c r="C7" s="467" t="str">
        <f>Commodities!D9</f>
        <v>Residential Heating Urban Multi Building  Demand</v>
      </c>
      <c r="D7" s="467" t="str">
        <f>Commodities!E9</f>
        <v>Mm2</v>
      </c>
      <c r="E7" s="468">
        <v>2010</v>
      </c>
      <c r="F7" s="9">
        <f t="shared" ref="F7:H7" si="3">F43</f>
        <v>1110.1278644182285</v>
      </c>
      <c r="G7" s="9">
        <f t="shared" si="3"/>
        <v>0</v>
      </c>
      <c r="H7" s="9">
        <f t="shared" si="3"/>
        <v>0</v>
      </c>
      <c r="AJ7" s="9"/>
    </row>
    <row r="8" spans="2:43">
      <c r="B8" s="7" t="str">
        <f>Commodities!C10</f>
        <v>CHRMB</v>
      </c>
      <c r="C8" s="467" t="str">
        <f>Commodities!D10</f>
        <v>Residential Heating Rural Multi Building  Demand</v>
      </c>
      <c r="D8" s="467" t="str">
        <f>Commodities!E10</f>
        <v>Mm2</v>
      </c>
      <c r="E8" s="468">
        <v>2010</v>
      </c>
      <c r="F8" s="9">
        <f t="shared" ref="F8:H8" si="4">F44</f>
        <v>75.619195360266474</v>
      </c>
      <c r="G8" s="9">
        <f t="shared" si="4"/>
        <v>0</v>
      </c>
      <c r="H8" s="9">
        <f t="shared" si="4"/>
        <v>0</v>
      </c>
    </row>
    <row r="9" spans="2:43">
      <c r="B9" s="7" t="str">
        <f t="shared" ref="B9:C12" si="5">B5</f>
        <v>CHUDB</v>
      </c>
      <c r="C9" s="467" t="str">
        <f t="shared" si="5"/>
        <v>Residential Heating Urban Detached Building  Demand</v>
      </c>
      <c r="D9" s="467" t="str">
        <f>Commodities!E11</f>
        <v>Mm2</v>
      </c>
      <c r="E9" s="468">
        <v>2015</v>
      </c>
      <c r="F9" s="9">
        <f>F45</f>
        <v>933.09930578685658</v>
      </c>
      <c r="G9" s="9">
        <f t="shared" ref="G9:H9" si="6">G45</f>
        <v>0</v>
      </c>
      <c r="H9" s="9">
        <f t="shared" si="6"/>
        <v>0</v>
      </c>
    </row>
    <row r="10" spans="2:43">
      <c r="B10" s="7" t="str">
        <f t="shared" si="5"/>
        <v>CHRDB</v>
      </c>
      <c r="C10" s="467" t="str">
        <f t="shared" si="5"/>
        <v>Residential Heating Rural Detached Building  Demand</v>
      </c>
      <c r="D10" s="467" t="str">
        <f>Commodities!E12</f>
        <v>Mm2</v>
      </c>
      <c r="E10" s="468">
        <v>2015</v>
      </c>
      <c r="F10" s="9">
        <f t="shared" ref="F10:H10" si="7">F46</f>
        <v>1513.8282632443202</v>
      </c>
      <c r="G10" s="9">
        <f t="shared" si="7"/>
        <v>0</v>
      </c>
      <c r="H10" s="9">
        <f t="shared" si="7"/>
        <v>0</v>
      </c>
    </row>
    <row r="11" spans="2:43">
      <c r="B11" s="7" t="str">
        <f t="shared" si="5"/>
        <v>CHUMB</v>
      </c>
      <c r="C11" s="467" t="str">
        <f t="shared" si="5"/>
        <v>Residential Heating Urban Multi Building  Demand</v>
      </c>
      <c r="D11" s="467" t="str">
        <f>Commodities!E13</f>
        <v>Mm2</v>
      </c>
      <c r="E11" s="468">
        <v>2015</v>
      </c>
      <c r="F11" s="9">
        <f t="shared" ref="F11:H11" si="8">F47</f>
        <v>1145.0728674578129</v>
      </c>
      <c r="G11" s="9">
        <f t="shared" si="8"/>
        <v>0</v>
      </c>
      <c r="H11" s="9">
        <f t="shared" si="8"/>
        <v>0</v>
      </c>
    </row>
    <row r="12" spans="2:43">
      <c r="B12" s="7" t="str">
        <f t="shared" si="5"/>
        <v>CHRMB</v>
      </c>
      <c r="C12" s="467" t="str">
        <f t="shared" si="5"/>
        <v>Residential Heating Rural Multi Building  Demand</v>
      </c>
      <c r="D12" s="467" t="str">
        <f>Commodities!E14</f>
        <v>Mm2</v>
      </c>
      <c r="E12" s="468">
        <v>2015</v>
      </c>
      <c r="F12" s="9">
        <f t="shared" ref="F12:H12" si="9">F48</f>
        <v>77.999563511011232</v>
      </c>
      <c r="G12" s="9">
        <f t="shared" si="9"/>
        <v>0</v>
      </c>
      <c r="H12" s="9">
        <f t="shared" si="9"/>
        <v>0</v>
      </c>
    </row>
    <row r="13" spans="2:43">
      <c r="B13" s="7" t="str">
        <f t="shared" ref="B13:D16" si="10">B5</f>
        <v>CHUDB</v>
      </c>
      <c r="C13" s="467" t="str">
        <f t="shared" si="10"/>
        <v>Residential Heating Urban Detached Building  Demand</v>
      </c>
      <c r="D13" s="467" t="str">
        <f t="shared" si="10"/>
        <v>Mm2</v>
      </c>
      <c r="E13" s="468">
        <v>2017</v>
      </c>
      <c r="F13" s="9">
        <f>F49</f>
        <v>947.08308284905752</v>
      </c>
      <c r="G13" s="9">
        <f t="shared" ref="G13:H13" si="11">G49</f>
        <v>0</v>
      </c>
      <c r="H13" s="9">
        <f t="shared" si="11"/>
        <v>0</v>
      </c>
      <c r="L13" s="573"/>
      <c r="M13" s="573"/>
      <c r="N13" s="573"/>
    </row>
    <row r="14" spans="2:43">
      <c r="B14" s="7" t="str">
        <f t="shared" si="10"/>
        <v>CHRDB</v>
      </c>
      <c r="C14" s="467" t="str">
        <f t="shared" si="10"/>
        <v>Residential Heating Rural Detached Building  Demand</v>
      </c>
      <c r="D14" s="467" t="str">
        <f t="shared" si="10"/>
        <v>Mm2</v>
      </c>
      <c r="E14" s="468">
        <v>2017</v>
      </c>
      <c r="F14" s="9">
        <f t="shared" ref="F14:H14" si="12">F50</f>
        <v>1536.5150628297254</v>
      </c>
      <c r="G14" s="9">
        <f t="shared" si="12"/>
        <v>0</v>
      </c>
      <c r="H14" s="9">
        <f t="shared" si="12"/>
        <v>0</v>
      </c>
      <c r="L14" s="573"/>
      <c r="M14" s="573"/>
      <c r="N14" s="573"/>
    </row>
    <row r="15" spans="2:43">
      <c r="B15" s="7" t="str">
        <f t="shared" si="10"/>
        <v>CHUMB</v>
      </c>
      <c r="C15" s="467" t="str">
        <f t="shared" si="10"/>
        <v>Residential Heating Urban Multi Building  Demand</v>
      </c>
      <c r="D15" s="467" t="str">
        <f t="shared" si="10"/>
        <v>Mm2</v>
      </c>
      <c r="E15" s="468">
        <v>2017</v>
      </c>
      <c r="F15" s="9">
        <f t="shared" ref="F15:H15" si="13">F51</f>
        <v>1162.2333600218947</v>
      </c>
      <c r="G15" s="9">
        <f t="shared" si="13"/>
        <v>0</v>
      </c>
      <c r="H15" s="9">
        <f t="shared" si="13"/>
        <v>0</v>
      </c>
      <c r="L15" s="573"/>
      <c r="M15" s="573"/>
      <c r="N15" s="573"/>
    </row>
    <row r="16" spans="2:43">
      <c r="B16" s="7" t="str">
        <f t="shared" si="10"/>
        <v>CHRMB</v>
      </c>
      <c r="C16" s="467" t="str">
        <f t="shared" si="10"/>
        <v>Residential Heating Rural Multi Building  Demand</v>
      </c>
      <c r="D16" s="467" t="str">
        <f t="shared" si="10"/>
        <v>Mm2</v>
      </c>
      <c r="E16" s="468">
        <v>2017</v>
      </c>
      <c r="F16" s="9">
        <f t="shared" ref="F16:H16" si="14">F52</f>
        <v>79.168494299323385</v>
      </c>
      <c r="G16" s="9">
        <f t="shared" si="14"/>
        <v>0</v>
      </c>
      <c r="H16" s="9">
        <f t="shared" si="14"/>
        <v>0</v>
      </c>
      <c r="L16" s="573"/>
      <c r="M16" s="573"/>
      <c r="N16" s="573"/>
    </row>
    <row r="17" spans="2:8">
      <c r="B17" s="7" t="str">
        <f>Commodities!C11</f>
        <v>CCUDB</v>
      </c>
      <c r="C17" s="104" t="str">
        <f>Commodities!D11</f>
        <v>Residential Cooling Urban Detached Building  Demand</v>
      </c>
      <c r="D17" s="104" t="str">
        <f>Commodities!E11</f>
        <v>Mm2</v>
      </c>
      <c r="E17" s="419">
        <v>2010</v>
      </c>
      <c r="F17" s="9">
        <f t="shared" ref="F17:H17" si="15">F53</f>
        <v>904.62325067837492</v>
      </c>
      <c r="G17" s="9">
        <f t="shared" si="15"/>
        <v>0</v>
      </c>
      <c r="H17" s="9">
        <f t="shared" si="15"/>
        <v>0</v>
      </c>
    </row>
    <row r="18" spans="2:8">
      <c r="B18" s="7" t="str">
        <f>Commodities!C12</f>
        <v>CCRDB</v>
      </c>
      <c r="C18" s="104" t="str">
        <f>Commodities!D12</f>
        <v>Residential Cooling Rural Detached Building  Demand</v>
      </c>
      <c r="D18" s="104" t="str">
        <f>Commodities!E12</f>
        <v>Mm2</v>
      </c>
      <c r="E18" s="419">
        <v>2010</v>
      </c>
      <c r="F18" s="9">
        <f t="shared" ref="F18:H18" si="16">F54</f>
        <v>1467.629689543131</v>
      </c>
      <c r="G18" s="9">
        <f t="shared" si="16"/>
        <v>0</v>
      </c>
      <c r="H18" s="9">
        <f t="shared" si="16"/>
        <v>0</v>
      </c>
    </row>
    <row r="19" spans="2:8">
      <c r="B19" s="7" t="str">
        <f>Commodities!C13</f>
        <v>CCUMB</v>
      </c>
      <c r="C19" s="104" t="str">
        <f>Commodities!D13</f>
        <v>Residential Cooling Urban Multi Building  Demand</v>
      </c>
      <c r="D19" s="104" t="str">
        <f>Commodities!E13</f>
        <v>Mm2</v>
      </c>
      <c r="E19" s="419">
        <v>2010</v>
      </c>
      <c r="F19" s="9">
        <f t="shared" ref="F19:H19" si="17">F55</f>
        <v>1110.1278644182285</v>
      </c>
      <c r="G19" s="9">
        <f t="shared" si="17"/>
        <v>0</v>
      </c>
      <c r="H19" s="9">
        <f t="shared" si="17"/>
        <v>0</v>
      </c>
    </row>
    <row r="20" spans="2:8">
      <c r="B20" s="7" t="str">
        <f>Commodities!C14</f>
        <v>CCRMB</v>
      </c>
      <c r="C20" s="104" t="str">
        <f>Commodities!D14</f>
        <v>Residential Cooling Rural Multi Building  Demand</v>
      </c>
      <c r="D20" s="104" t="str">
        <f>Commodities!E14</f>
        <v>Mm2</v>
      </c>
      <c r="E20" s="419">
        <v>2010</v>
      </c>
      <c r="F20" s="9">
        <f t="shared" ref="F20:H20" si="18">F56</f>
        <v>75.619195360266474</v>
      </c>
      <c r="G20" s="9">
        <f t="shared" si="18"/>
        <v>0</v>
      </c>
      <c r="H20" s="9">
        <f t="shared" si="18"/>
        <v>0</v>
      </c>
    </row>
    <row r="21" spans="2:8">
      <c r="B21" s="7" t="str">
        <f t="shared" ref="B21:D24" si="19">B17</f>
        <v>CCUDB</v>
      </c>
      <c r="C21" s="104" t="str">
        <f t="shared" si="19"/>
        <v>Residential Cooling Urban Detached Building  Demand</v>
      </c>
      <c r="D21" s="104" t="str">
        <f t="shared" si="19"/>
        <v>Mm2</v>
      </c>
      <c r="E21" s="419">
        <v>2015</v>
      </c>
      <c r="F21" s="9">
        <f t="shared" ref="F21:H21" si="20">F57</f>
        <v>933.09930578685658</v>
      </c>
      <c r="G21" s="9">
        <f t="shared" si="20"/>
        <v>0</v>
      </c>
      <c r="H21" s="9">
        <f t="shared" si="20"/>
        <v>0</v>
      </c>
    </row>
    <row r="22" spans="2:8">
      <c r="B22" s="7" t="str">
        <f t="shared" si="19"/>
        <v>CCRDB</v>
      </c>
      <c r="C22" s="104" t="str">
        <f t="shared" si="19"/>
        <v>Residential Cooling Rural Detached Building  Demand</v>
      </c>
      <c r="D22" s="104" t="str">
        <f t="shared" si="19"/>
        <v>Mm2</v>
      </c>
      <c r="E22" s="419">
        <v>2015</v>
      </c>
      <c r="F22" s="9">
        <f t="shared" ref="F22:H22" si="21">F58</f>
        <v>1513.8282632443202</v>
      </c>
      <c r="G22" s="9">
        <f t="shared" si="21"/>
        <v>0</v>
      </c>
      <c r="H22" s="9">
        <f t="shared" si="21"/>
        <v>0</v>
      </c>
    </row>
    <row r="23" spans="2:8">
      <c r="B23" s="7" t="str">
        <f t="shared" si="19"/>
        <v>CCUMB</v>
      </c>
      <c r="C23" s="104" t="str">
        <f t="shared" si="19"/>
        <v>Residential Cooling Urban Multi Building  Demand</v>
      </c>
      <c r="D23" s="104" t="str">
        <f t="shared" si="19"/>
        <v>Mm2</v>
      </c>
      <c r="E23" s="419">
        <v>2015</v>
      </c>
      <c r="F23" s="9">
        <f t="shared" ref="F23:H23" si="22">F59</f>
        <v>1145.0728674578129</v>
      </c>
      <c r="G23" s="9">
        <f t="shared" si="22"/>
        <v>0</v>
      </c>
      <c r="H23" s="9">
        <f t="shared" si="22"/>
        <v>0</v>
      </c>
    </row>
    <row r="24" spans="2:8">
      <c r="B24" s="7" t="str">
        <f t="shared" si="19"/>
        <v>CCRMB</v>
      </c>
      <c r="C24" s="104" t="str">
        <f t="shared" si="19"/>
        <v>Residential Cooling Rural Multi Building  Demand</v>
      </c>
      <c r="D24" s="104" t="str">
        <f t="shared" si="19"/>
        <v>Mm2</v>
      </c>
      <c r="E24" s="419">
        <v>2015</v>
      </c>
      <c r="F24" s="9">
        <f t="shared" ref="F24:H24" si="23">F60</f>
        <v>77.999563511011232</v>
      </c>
      <c r="G24" s="9">
        <f t="shared" si="23"/>
        <v>0</v>
      </c>
      <c r="H24" s="9">
        <f t="shared" si="23"/>
        <v>0</v>
      </c>
    </row>
    <row r="25" spans="2:8">
      <c r="B25" s="7" t="str">
        <f t="shared" ref="B25:D28" si="24">B17</f>
        <v>CCUDB</v>
      </c>
      <c r="C25" s="104" t="str">
        <f t="shared" si="24"/>
        <v>Residential Cooling Urban Detached Building  Demand</v>
      </c>
      <c r="D25" s="104" t="str">
        <f t="shared" si="24"/>
        <v>Mm2</v>
      </c>
      <c r="E25" s="419">
        <v>2017</v>
      </c>
      <c r="F25" s="9">
        <f t="shared" ref="F25:H25" si="25">F61</f>
        <v>947.08308284905752</v>
      </c>
      <c r="G25" s="9">
        <f t="shared" si="25"/>
        <v>0</v>
      </c>
      <c r="H25" s="9">
        <f t="shared" si="25"/>
        <v>0</v>
      </c>
    </row>
    <row r="26" spans="2:8">
      <c r="B26" s="7" t="str">
        <f t="shared" si="24"/>
        <v>CCRDB</v>
      </c>
      <c r="C26" s="104" t="str">
        <f t="shared" si="24"/>
        <v>Residential Cooling Rural Detached Building  Demand</v>
      </c>
      <c r="D26" s="104" t="str">
        <f t="shared" si="24"/>
        <v>Mm2</v>
      </c>
      <c r="E26" s="419">
        <v>2017</v>
      </c>
      <c r="F26" s="9">
        <f t="shared" ref="F26:H26" si="26">F62</f>
        <v>1536.5150628297254</v>
      </c>
      <c r="G26" s="9">
        <f t="shared" si="26"/>
        <v>0</v>
      </c>
      <c r="H26" s="9">
        <f t="shared" si="26"/>
        <v>0</v>
      </c>
    </row>
    <row r="27" spans="2:8">
      <c r="B27" s="7" t="str">
        <f t="shared" si="24"/>
        <v>CCUMB</v>
      </c>
      <c r="C27" s="104" t="str">
        <f t="shared" si="24"/>
        <v>Residential Cooling Urban Multi Building  Demand</v>
      </c>
      <c r="D27" s="104" t="str">
        <f t="shared" si="24"/>
        <v>Mm2</v>
      </c>
      <c r="E27" s="419">
        <v>2017</v>
      </c>
      <c r="F27" s="9">
        <f t="shared" ref="F27:H27" si="27">F63</f>
        <v>1162.2333600218947</v>
      </c>
      <c r="G27" s="9">
        <f t="shared" si="27"/>
        <v>0</v>
      </c>
      <c r="H27" s="9">
        <f t="shared" si="27"/>
        <v>0</v>
      </c>
    </row>
    <row r="28" spans="2:8">
      <c r="B28" s="7" t="str">
        <f t="shared" si="24"/>
        <v>CCRMB</v>
      </c>
      <c r="C28" s="104" t="str">
        <f t="shared" si="24"/>
        <v>Residential Cooling Rural Multi Building  Demand</v>
      </c>
      <c r="D28" s="104" t="str">
        <f t="shared" si="24"/>
        <v>Mm2</v>
      </c>
      <c r="E28" s="419">
        <v>2017</v>
      </c>
      <c r="F28" s="9">
        <f t="shared" ref="F28:H28" si="28">F64</f>
        <v>79.168494299323385</v>
      </c>
      <c r="G28" s="9">
        <f t="shared" si="28"/>
        <v>0</v>
      </c>
      <c r="H28" s="9">
        <f t="shared" si="28"/>
        <v>0</v>
      </c>
    </row>
    <row r="29" spans="2:8">
      <c r="B29" s="3" t="str">
        <f>Commodities!$C$15</f>
        <v>CWDEM</v>
      </c>
      <c r="C29" s="495" t="s">
        <v>179</v>
      </c>
      <c r="D29" s="501" t="s">
        <v>44</v>
      </c>
      <c r="E29" s="496">
        <v>2010</v>
      </c>
      <c r="F29" s="9">
        <f>F65</f>
        <v>0</v>
      </c>
      <c r="G29" s="9">
        <f t="shared" ref="G29:H30" si="29">G65</f>
        <v>0</v>
      </c>
      <c r="H29" s="9">
        <f t="shared" si="29"/>
        <v>0</v>
      </c>
    </row>
    <row r="30" spans="2:8">
      <c r="B30" s="3" t="str">
        <f>Commodities!$C$15</f>
        <v>CWDEM</v>
      </c>
      <c r="C30" s="495" t="s">
        <v>179</v>
      </c>
      <c r="D30" s="501" t="s">
        <v>44</v>
      </c>
      <c r="E30" s="496">
        <v>2015</v>
      </c>
      <c r="F30" s="9">
        <f>F66</f>
        <v>65.940621337419103</v>
      </c>
      <c r="G30" s="9">
        <f t="shared" si="29"/>
        <v>0</v>
      </c>
      <c r="H30" s="9">
        <f t="shared" si="29"/>
        <v>0</v>
      </c>
    </row>
    <row r="31" spans="2:8">
      <c r="B31" s="3" t="str">
        <f>B29</f>
        <v>CWDEM</v>
      </c>
      <c r="C31" s="495" t="s">
        <v>179</v>
      </c>
      <c r="D31" s="501" t="s">
        <v>44</v>
      </c>
      <c r="E31" s="496">
        <v>2018</v>
      </c>
      <c r="F31" s="9">
        <f t="shared" ref="F31:H31" si="30">F67</f>
        <v>72.216802087012482</v>
      </c>
      <c r="G31" s="9">
        <f t="shared" si="30"/>
        <v>0</v>
      </c>
      <c r="H31" s="9">
        <f t="shared" si="30"/>
        <v>0</v>
      </c>
    </row>
    <row r="32" spans="2:8">
      <c r="B32" s="3" t="str">
        <f>Commodities!$C$16</f>
        <v>CADEM</v>
      </c>
      <c r="C32" s="497" t="s">
        <v>180</v>
      </c>
      <c r="D32" s="502" t="s">
        <v>44</v>
      </c>
      <c r="E32" s="498">
        <v>2010</v>
      </c>
      <c r="F32" s="9">
        <f t="shared" ref="F32:H33" si="31">F68</f>
        <v>0</v>
      </c>
      <c r="G32" s="9">
        <f t="shared" si="31"/>
        <v>0</v>
      </c>
      <c r="H32" s="9">
        <f t="shared" si="31"/>
        <v>0</v>
      </c>
    </row>
    <row r="33" spans="2:28">
      <c r="B33" s="3" t="str">
        <f>Commodities!$C$16</f>
        <v>CADEM</v>
      </c>
      <c r="C33" s="497" t="s">
        <v>180</v>
      </c>
      <c r="D33" s="502" t="s">
        <v>44</v>
      </c>
      <c r="E33" s="498">
        <v>2015</v>
      </c>
      <c r="F33" s="9">
        <f t="shared" si="31"/>
        <v>259.22129859730302</v>
      </c>
      <c r="G33" s="9">
        <f t="shared" si="31"/>
        <v>0</v>
      </c>
      <c r="H33" s="9">
        <f t="shared" si="31"/>
        <v>0</v>
      </c>
    </row>
    <row r="34" spans="2:28">
      <c r="B34" s="3" t="str">
        <f>B32</f>
        <v>CADEM</v>
      </c>
      <c r="C34" s="497" t="s">
        <v>180</v>
      </c>
      <c r="D34" s="502" t="s">
        <v>44</v>
      </c>
      <c r="E34" s="498">
        <v>2018</v>
      </c>
      <c r="F34" s="9">
        <f t="shared" ref="F34:H34" si="32">F70</f>
        <v>245.83807074083413</v>
      </c>
      <c r="G34" s="9">
        <f t="shared" si="32"/>
        <v>0</v>
      </c>
      <c r="H34" s="9">
        <f t="shared" si="32"/>
        <v>0</v>
      </c>
    </row>
    <row r="35" spans="2:28">
      <c r="B35" s="3" t="str">
        <f>Commodities!$C$17</f>
        <v>CFDEM</v>
      </c>
      <c r="C35" s="499" t="s">
        <v>178</v>
      </c>
      <c r="D35" s="503" t="s">
        <v>44</v>
      </c>
      <c r="E35" s="500">
        <v>2010</v>
      </c>
      <c r="F35" s="9">
        <f t="shared" ref="F35:H36" si="33">F71</f>
        <v>0</v>
      </c>
      <c r="G35" s="9">
        <f t="shared" si="33"/>
        <v>0</v>
      </c>
      <c r="H35" s="9">
        <f t="shared" si="33"/>
        <v>0</v>
      </c>
    </row>
    <row r="36" spans="2:28">
      <c r="B36" s="3" t="str">
        <f>Commodities!$C$17</f>
        <v>CFDEM</v>
      </c>
      <c r="C36" s="499" t="s">
        <v>178</v>
      </c>
      <c r="D36" s="503" t="s">
        <v>44</v>
      </c>
      <c r="E36" s="500">
        <v>2015</v>
      </c>
      <c r="F36" s="9">
        <f t="shared" si="33"/>
        <v>0.93922522773618311</v>
      </c>
      <c r="G36" s="9">
        <f t="shared" si="33"/>
        <v>0</v>
      </c>
      <c r="H36" s="9">
        <f t="shared" si="33"/>
        <v>0</v>
      </c>
    </row>
    <row r="37" spans="2:28">
      <c r="B37" s="3" t="str">
        <f>B35</f>
        <v>CFDEM</v>
      </c>
      <c r="C37" s="499" t="s">
        <v>178</v>
      </c>
      <c r="D37" s="503" t="s">
        <v>44</v>
      </c>
      <c r="E37" s="500">
        <v>2018</v>
      </c>
      <c r="F37" s="9">
        <f t="shared" ref="F37:H37" si="34">F73</f>
        <v>1.0458717891563076</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763</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904.62325067837492</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1467.629689543131</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1110.1278644182285</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75.619195360266474</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933.09930578685658</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1513.8282632443202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1145.0728674578129</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77.999563511011232</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947.08308284905752</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1536.5150628297254</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1162.2333600218947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79.168494299323385</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904.62325067837492</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1467.629689543131</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1110.1278644182285</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75.619195360266474</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933.09930578685658</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1513.8282632443202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1145.0728674578129</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77.999563511011232</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947.08308284905752</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1536.5150628297254</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1162.2333600218947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79.168494299323385</v>
      </c>
      <c r="G64" s="23">
        <f>SUMIFS('Data manipulation'!$W$5:$AF$5,Sources!$D$13:$M$13,Dem!$E28)*'Data manipulation'!Y24</f>
        <v>0</v>
      </c>
      <c r="H64" s="23">
        <f>SUMIFS('Data manipulation'!$W$5:$AF$5,Sources!$D$13:$M$13,Dem!$E28)*'Data manipulation'!Z24</f>
        <v>0</v>
      </c>
    </row>
    <row r="65" spans="4:8">
      <c r="D65"/>
      <c r="F65" s="23">
        <f>SUM('Appliances&amp;Cooking'!Y45:Y46)</f>
        <v>0</v>
      </c>
      <c r="G65" s="23">
        <f>SUM('Appliances&amp;Cooking'!Z45:Z46)</f>
        <v>0</v>
      </c>
      <c r="H65" s="23">
        <f>SUM('Appliances&amp;Cooking'!AA45:AA46)</f>
        <v>0</v>
      </c>
    </row>
    <row r="66" spans="4:8">
      <c r="F66" s="23">
        <f>SUM('Appliances&amp;Cooking'!Y53:Y54)</f>
        <v>65.940621337419103</v>
      </c>
      <c r="G66" s="23">
        <f>SUM('Appliances&amp;Cooking'!Z53:Z54)</f>
        <v>0</v>
      </c>
      <c r="H66" s="23">
        <f>SUM('Appliances&amp;Cooking'!AA53:AA54)</f>
        <v>0</v>
      </c>
    </row>
    <row r="67" spans="4:8">
      <c r="F67" s="23">
        <f>SUM('Appliances&amp;Cooking'!Y61:Y62)</f>
        <v>72.216802087012482</v>
      </c>
      <c r="G67" s="23">
        <f>SUM('Appliances&amp;Cooking'!Z61:Z62)</f>
        <v>0</v>
      </c>
      <c r="H67" s="23">
        <f>SUM('Appliances&amp;Cooking'!AA61:AA62)</f>
        <v>0</v>
      </c>
    </row>
    <row r="68" spans="4:8">
      <c r="F68" s="23">
        <f>SUM('Appliances&amp;Cooking'!Y30:Y31)</f>
        <v>0</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SUM('Appliances&amp;Cooking'!Y7:Y8)</f>
        <v>0</v>
      </c>
      <c r="G71" s="23">
        <f>SUM('Appliances&amp;Cooking'!Z7:Z8)</f>
        <v>0</v>
      </c>
      <c r="H71" s="23">
        <f>SUM('Appliances&amp;Cooking'!AA7:AA8)</f>
        <v>0</v>
      </c>
    </row>
    <row r="72" spans="4:8">
      <c r="F72" s="23">
        <f>SUM('Appliances&amp;Cooking'!Y11:Y12)</f>
        <v>0.93922522773618311</v>
      </c>
      <c r="G72" s="23">
        <f>SUM('Appliances&amp;Cooking'!Z11:Z12)</f>
        <v>0</v>
      </c>
      <c r="H72" s="23">
        <f>SUM('Appliances&amp;Cooking'!AA11:AA12)</f>
        <v>0</v>
      </c>
    </row>
    <row r="73" spans="4:8">
      <c r="F73" s="23">
        <f>SUM('Appliances&amp;Cooking'!Y15:Y16)</f>
        <v>1.0458717891563076</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107</v>
      </c>
      <c r="C2" s="50"/>
      <c r="D2" s="51"/>
    </row>
    <row r="4" spans="2:7" ht="13">
      <c r="B4" s="52" t="s">
        <v>108</v>
      </c>
      <c r="C4" s="54"/>
      <c r="D4" s="56"/>
    </row>
    <row r="5" spans="2:7" ht="13">
      <c r="B5" s="51" t="s">
        <v>109</v>
      </c>
      <c r="C5" s="50"/>
      <c r="D5" s="51"/>
    </row>
    <row r="6" spans="2:7" ht="13">
      <c r="B6" s="50"/>
      <c r="C6" s="55" t="s">
        <v>111</v>
      </c>
      <c r="D6" s="55" t="s">
        <v>110</v>
      </c>
    </row>
    <row r="7" spans="2:7" ht="13">
      <c r="B7" s="50"/>
    </row>
    <row r="8" spans="2:7" ht="13">
      <c r="B8" s="53" t="s">
        <v>112</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113</v>
      </c>
      <c r="C10" s="60" t="s">
        <v>114</v>
      </c>
      <c r="D10" s="60"/>
      <c r="E10" s="60" t="s">
        <v>114</v>
      </c>
      <c r="F10" s="60"/>
      <c r="G10" s="60"/>
    </row>
    <row r="11" spans="2:7" ht="13">
      <c r="B11" s="61" t="str">
        <f>Commodities!$C$83</f>
        <v>COMCO2</v>
      </c>
      <c r="C11" s="62">
        <v>56.97</v>
      </c>
      <c r="D11" s="62">
        <v>63.1</v>
      </c>
      <c r="E11" s="62">
        <v>74</v>
      </c>
      <c r="F11" s="62">
        <v>69.3</v>
      </c>
      <c r="G11" s="62">
        <v>94.6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I32" activePane="bottomRight" state="frozen"/>
      <selection pane="topRight"/>
      <selection pane="bottomLeft"/>
      <selection pane="bottomRight" activeCell="M35" sqref="M35"/>
    </sheetView>
  </sheetViews>
  <sheetFormatPr defaultRowHeight="11.4" customHeight="1"/>
  <cols>
    <col min="1" max="2" width="29.90625" style="579" customWidth="1"/>
    <col min="3" max="12" width="19.90625" style="579" customWidth="1"/>
    <col min="13" max="13" width="9.81640625" style="579" bestFit="1" customWidth="1"/>
    <col min="14" max="16384" width="8.7265625" style="579"/>
  </cols>
  <sheetData>
    <row r="1" spans="1:13" ht="14.5">
      <c r="A1" s="580" t="s">
        <v>938</v>
      </c>
    </row>
    <row r="2" spans="1:13" ht="14.5">
      <c r="A2" s="580" t="s">
        <v>937</v>
      </c>
      <c r="B2" s="581" t="s">
        <v>936</v>
      </c>
    </row>
    <row r="3" spans="1:13" ht="14.5">
      <c r="A3" s="580" t="s">
        <v>935</v>
      </c>
      <c r="B3" s="580" t="s">
        <v>934</v>
      </c>
      <c r="C3" s="640"/>
      <c r="D3" s="640"/>
      <c r="E3" s="640"/>
      <c r="F3" s="640"/>
      <c r="G3" s="640"/>
      <c r="H3" s="640"/>
      <c r="I3" s="640"/>
      <c r="J3" s="640"/>
      <c r="K3" s="640"/>
      <c r="L3" s="640"/>
    </row>
    <row r="4" spans="1:13" ht="14.5">
      <c r="A4" s="581" t="s">
        <v>857</v>
      </c>
      <c r="C4" s="580" t="s">
        <v>856</v>
      </c>
    </row>
    <row r="5" spans="1:13" ht="14.5">
      <c r="A5" s="581" t="s">
        <v>855</v>
      </c>
      <c r="C5" s="580" t="s">
        <v>854</v>
      </c>
    </row>
    <row r="6" spans="1:13" ht="14.5">
      <c r="A6" s="645" t="s">
        <v>853</v>
      </c>
      <c r="B6" s="645" t="s">
        <v>853</v>
      </c>
      <c r="C6" s="636" t="s">
        <v>852</v>
      </c>
      <c r="D6" s="636" t="s">
        <v>851</v>
      </c>
      <c r="E6" s="636" t="s">
        <v>850</v>
      </c>
      <c r="F6" s="636" t="s">
        <v>849</v>
      </c>
      <c r="G6" s="636" t="s">
        <v>848</v>
      </c>
      <c r="H6" s="636" t="s">
        <v>847</v>
      </c>
      <c r="I6" s="636" t="s">
        <v>846</v>
      </c>
      <c r="J6" s="636" t="s">
        <v>845</v>
      </c>
      <c r="K6" s="636" t="s">
        <v>844</v>
      </c>
      <c r="L6" s="636" t="s">
        <v>933</v>
      </c>
    </row>
    <row r="7" spans="1:13" ht="14.5">
      <c r="A7" s="645" t="s">
        <v>843</v>
      </c>
      <c r="B7" s="645" t="s">
        <v>843</v>
      </c>
      <c r="C7" s="589" t="s">
        <v>932</v>
      </c>
      <c r="D7" s="589" t="s">
        <v>932</v>
      </c>
      <c r="E7" s="589" t="s">
        <v>932</v>
      </c>
      <c r="F7" s="589" t="s">
        <v>932</v>
      </c>
      <c r="G7" s="589" t="s">
        <v>932</v>
      </c>
      <c r="H7" s="589" t="s">
        <v>932</v>
      </c>
      <c r="I7" s="589" t="s">
        <v>932</v>
      </c>
      <c r="J7" s="589" t="s">
        <v>932</v>
      </c>
      <c r="K7" s="589" t="s">
        <v>932</v>
      </c>
      <c r="L7" s="589" t="s">
        <v>932</v>
      </c>
    </row>
    <row r="8" spans="1:13" ht="14.5">
      <c r="A8" s="588" t="s">
        <v>842</v>
      </c>
      <c r="B8" s="588" t="s">
        <v>841</v>
      </c>
      <c r="C8" s="587" t="s">
        <v>840</v>
      </c>
      <c r="D8" s="587" t="s">
        <v>840</v>
      </c>
      <c r="E8" s="587" t="s">
        <v>840</v>
      </c>
      <c r="F8" s="587" t="s">
        <v>840</v>
      </c>
      <c r="G8" s="587" t="s">
        <v>840</v>
      </c>
      <c r="H8" s="587" t="s">
        <v>840</v>
      </c>
      <c r="I8" s="587" t="s">
        <v>840</v>
      </c>
      <c r="J8" s="587" t="s">
        <v>840</v>
      </c>
      <c r="K8" s="587" t="s">
        <v>840</v>
      </c>
      <c r="L8" s="587" t="s">
        <v>840</v>
      </c>
    </row>
    <row r="9" spans="1:13" ht="14.5">
      <c r="A9" s="584" t="s">
        <v>830</v>
      </c>
      <c r="B9" s="584" t="s">
        <v>92</v>
      </c>
      <c r="C9" s="585">
        <v>1286837.9580000001</v>
      </c>
      <c r="D9" s="585">
        <v>1340940.5730000001</v>
      </c>
      <c r="E9" s="585">
        <v>1404651.6410000001</v>
      </c>
      <c r="F9" s="585">
        <v>1288112.3189999999</v>
      </c>
      <c r="G9" s="585">
        <v>1351912.3759999999</v>
      </c>
      <c r="H9" s="585">
        <v>1334145.453</v>
      </c>
      <c r="I9" s="585">
        <v>1332985.048</v>
      </c>
      <c r="J9" s="585">
        <v>1209684.2450000001</v>
      </c>
      <c r="K9" s="586">
        <v>1152783.6399999999</v>
      </c>
      <c r="L9" s="585">
        <v>1120896.8959999999</v>
      </c>
    </row>
    <row r="10" spans="1:13" ht="14.5">
      <c r="A10" s="594" t="s">
        <v>830</v>
      </c>
      <c r="B10" s="594" t="s">
        <v>931</v>
      </c>
      <c r="C10" s="582">
        <v>4046.067</v>
      </c>
      <c r="D10" s="582">
        <v>4315.299</v>
      </c>
      <c r="E10" s="582">
        <v>1912.432</v>
      </c>
      <c r="F10" s="582">
        <v>2233.6880000000001</v>
      </c>
      <c r="G10" s="583">
        <v>7701.82</v>
      </c>
      <c r="H10" s="582">
        <v>1147.6759999999999</v>
      </c>
      <c r="I10" s="582">
        <v>765.21400000000006</v>
      </c>
      <c r="J10" s="582">
        <v>875.53099999999995</v>
      </c>
      <c r="K10" s="582">
        <v>76.988</v>
      </c>
      <c r="L10" s="582">
        <v>64.100999999999999</v>
      </c>
      <c r="M10" s="641">
        <f>SUM(L10:L12)/L9</f>
        <v>1.1437537248742636E-4</v>
      </c>
    </row>
    <row r="11" spans="1:13" ht="14.5">
      <c r="A11" s="594" t="s">
        <v>830</v>
      </c>
      <c r="B11" s="594" t="s">
        <v>930</v>
      </c>
      <c r="C11" s="586">
        <v>1158.69</v>
      </c>
      <c r="D11" s="586">
        <v>1187.2</v>
      </c>
      <c r="E11" s="586">
        <v>623.28</v>
      </c>
      <c r="F11" s="586">
        <v>861.3</v>
      </c>
      <c r="G11" s="586">
        <v>1336.5</v>
      </c>
      <c r="H11" s="586">
        <v>712.8</v>
      </c>
      <c r="I11" s="586">
        <v>356.4</v>
      </c>
      <c r="J11" s="586">
        <v>445.5</v>
      </c>
      <c r="K11" s="585">
        <v>20.137</v>
      </c>
      <c r="L11" s="586">
        <v>14.88</v>
      </c>
    </row>
    <row r="12" spans="1:13" ht="14.5">
      <c r="A12" s="594" t="s">
        <v>830</v>
      </c>
      <c r="B12" s="594" t="s">
        <v>929</v>
      </c>
      <c r="C12" s="585">
        <v>1312.7940000000001</v>
      </c>
      <c r="D12" s="585">
        <v>1818.9359999999999</v>
      </c>
      <c r="E12" s="585">
        <v>19.617999999999999</v>
      </c>
      <c r="F12" s="585">
        <v>1057.2380000000001</v>
      </c>
      <c r="G12" s="586">
        <v>6250.72</v>
      </c>
      <c r="H12" s="585">
        <v>320.27600000000001</v>
      </c>
      <c r="I12" s="585">
        <v>408.81400000000002</v>
      </c>
      <c r="J12" s="585">
        <v>430.03100000000001</v>
      </c>
      <c r="K12" s="585">
        <v>56.850999999999999</v>
      </c>
      <c r="L12" s="585">
        <v>49.222000000000001</v>
      </c>
    </row>
    <row r="13" spans="1:13" ht="14.5" hidden="1">
      <c r="A13" s="584" t="s">
        <v>830</v>
      </c>
      <c r="B13" s="584" t="s">
        <v>928</v>
      </c>
      <c r="C13" s="583">
        <v>0</v>
      </c>
      <c r="D13" s="583">
        <v>0</v>
      </c>
      <c r="E13" s="583">
        <v>0</v>
      </c>
      <c r="F13" s="583">
        <v>0</v>
      </c>
      <c r="G13" s="583">
        <v>0</v>
      </c>
      <c r="H13" s="583">
        <v>0</v>
      </c>
      <c r="I13" s="583">
        <v>0</v>
      </c>
      <c r="J13" s="583">
        <v>0</v>
      </c>
      <c r="K13" s="583">
        <v>0</v>
      </c>
      <c r="L13" s="583">
        <v>0</v>
      </c>
    </row>
    <row r="14" spans="1:13" ht="14.5" hidden="1">
      <c r="A14" s="584" t="s">
        <v>830</v>
      </c>
      <c r="B14" s="584" t="s">
        <v>927</v>
      </c>
      <c r="C14" s="586">
        <v>0</v>
      </c>
      <c r="D14" s="586">
        <v>0</v>
      </c>
      <c r="E14" s="586">
        <v>0</v>
      </c>
      <c r="F14" s="586">
        <v>0</v>
      </c>
      <c r="G14" s="586">
        <v>0</v>
      </c>
      <c r="H14" s="586">
        <v>0</v>
      </c>
      <c r="I14" s="586">
        <v>0</v>
      </c>
      <c r="J14" s="586">
        <v>0</v>
      </c>
      <c r="K14" s="586">
        <v>0</v>
      </c>
      <c r="L14" s="586">
        <v>0</v>
      </c>
    </row>
    <row r="15" spans="1:13" ht="14.5" hidden="1">
      <c r="A15" s="584" t="s">
        <v>830</v>
      </c>
      <c r="B15" s="584" t="s">
        <v>926</v>
      </c>
      <c r="C15" s="583">
        <v>315.14999999999998</v>
      </c>
      <c r="D15" s="583">
        <v>114.6</v>
      </c>
      <c r="E15" s="583">
        <v>114.6</v>
      </c>
      <c r="F15" s="583">
        <v>315.14999999999998</v>
      </c>
      <c r="G15" s="583">
        <v>114.6</v>
      </c>
      <c r="H15" s="583">
        <v>114.6</v>
      </c>
      <c r="I15" s="583">
        <v>0</v>
      </c>
      <c r="J15" s="583">
        <v>0</v>
      </c>
      <c r="K15" s="583">
        <v>0</v>
      </c>
      <c r="L15" s="583">
        <v>0</v>
      </c>
    </row>
    <row r="16" spans="1:13" ht="14.5" hidden="1">
      <c r="A16" s="584" t="s">
        <v>830</v>
      </c>
      <c r="B16" s="584" t="s">
        <v>925</v>
      </c>
      <c r="C16" s="586">
        <v>0</v>
      </c>
      <c r="D16" s="586">
        <v>0</v>
      </c>
      <c r="E16" s="586">
        <v>0</v>
      </c>
      <c r="F16" s="586">
        <v>0</v>
      </c>
      <c r="G16" s="586">
        <v>0</v>
      </c>
      <c r="H16" s="586">
        <v>0</v>
      </c>
      <c r="I16" s="586">
        <v>0</v>
      </c>
      <c r="J16" s="586">
        <v>0</v>
      </c>
      <c r="K16" s="586">
        <v>0</v>
      </c>
      <c r="L16" s="586">
        <v>0</v>
      </c>
    </row>
    <row r="17" spans="1:12" ht="14.5" hidden="1">
      <c r="A17" s="584" t="s">
        <v>830</v>
      </c>
      <c r="B17" s="584" t="s">
        <v>924</v>
      </c>
      <c r="C17" s="583">
        <v>0</v>
      </c>
      <c r="D17" s="583">
        <v>0</v>
      </c>
      <c r="E17" s="583">
        <v>0</v>
      </c>
      <c r="F17" s="583">
        <v>0</v>
      </c>
      <c r="G17" s="583">
        <v>0</v>
      </c>
      <c r="H17" s="583">
        <v>0</v>
      </c>
      <c r="I17" s="583">
        <v>0</v>
      </c>
      <c r="J17" s="583">
        <v>0</v>
      </c>
      <c r="K17" s="583">
        <v>0</v>
      </c>
      <c r="L17" s="583">
        <v>0</v>
      </c>
    </row>
    <row r="18" spans="1:12" ht="14.5" hidden="1">
      <c r="A18" s="584" t="s">
        <v>830</v>
      </c>
      <c r="B18" s="584" t="s">
        <v>923</v>
      </c>
      <c r="C18" s="585">
        <v>1259.433</v>
      </c>
      <c r="D18" s="585">
        <v>1194.5630000000001</v>
      </c>
      <c r="E18" s="585">
        <v>1154.934</v>
      </c>
      <c r="F18" s="586">
        <v>0</v>
      </c>
      <c r="G18" s="586">
        <v>0</v>
      </c>
      <c r="H18" s="586">
        <v>0</v>
      </c>
      <c r="I18" s="586">
        <v>0</v>
      </c>
      <c r="J18" s="586">
        <v>0</v>
      </c>
      <c r="K18" s="586">
        <v>0</v>
      </c>
      <c r="L18" s="586">
        <v>0</v>
      </c>
    </row>
    <row r="19" spans="1:12" ht="14.5" hidden="1">
      <c r="A19" s="584" t="s">
        <v>830</v>
      </c>
      <c r="B19" s="584" t="s">
        <v>922</v>
      </c>
      <c r="C19" s="583">
        <v>0</v>
      </c>
      <c r="D19" s="583">
        <v>0</v>
      </c>
      <c r="E19" s="583">
        <v>0</v>
      </c>
      <c r="F19" s="583">
        <v>0</v>
      </c>
      <c r="G19" s="583">
        <v>0</v>
      </c>
      <c r="H19" s="583">
        <v>0</v>
      </c>
      <c r="I19" s="583">
        <v>0</v>
      </c>
      <c r="J19" s="583">
        <v>0</v>
      </c>
      <c r="K19" s="583">
        <v>0</v>
      </c>
      <c r="L19" s="583">
        <v>0</v>
      </c>
    </row>
    <row r="20" spans="1:12" ht="14.5" hidden="1">
      <c r="A20" s="584" t="s">
        <v>830</v>
      </c>
      <c r="B20" s="584" t="s">
        <v>921</v>
      </c>
      <c r="C20" s="586">
        <v>0</v>
      </c>
      <c r="D20" s="586">
        <v>0</v>
      </c>
      <c r="E20" s="586">
        <v>0</v>
      </c>
      <c r="F20" s="586">
        <v>0</v>
      </c>
      <c r="G20" s="586">
        <v>0</v>
      </c>
      <c r="H20" s="586">
        <v>0</v>
      </c>
      <c r="I20" s="586">
        <v>0</v>
      </c>
      <c r="J20" s="586">
        <v>0</v>
      </c>
      <c r="K20" s="586">
        <v>0</v>
      </c>
      <c r="L20" s="586">
        <v>0</v>
      </c>
    </row>
    <row r="21" spans="1:12" ht="14.5" hidden="1">
      <c r="A21" s="584" t="s">
        <v>830</v>
      </c>
      <c r="B21" s="584" t="s">
        <v>920</v>
      </c>
      <c r="C21" s="583">
        <v>0</v>
      </c>
      <c r="D21" s="583">
        <v>0</v>
      </c>
      <c r="E21" s="583">
        <v>0</v>
      </c>
      <c r="F21" s="583">
        <v>0</v>
      </c>
      <c r="G21" s="583">
        <v>0</v>
      </c>
      <c r="H21" s="583">
        <v>0</v>
      </c>
      <c r="I21" s="583">
        <v>0</v>
      </c>
      <c r="J21" s="583">
        <v>0</v>
      </c>
      <c r="K21" s="583">
        <v>0</v>
      </c>
      <c r="L21" s="583">
        <v>0</v>
      </c>
    </row>
    <row r="22" spans="1:12" ht="14.5" hidden="1">
      <c r="A22" s="584" t="s">
        <v>830</v>
      </c>
      <c r="B22" s="584" t="s">
        <v>919</v>
      </c>
      <c r="C22" s="586">
        <v>0</v>
      </c>
      <c r="D22" s="586">
        <v>0</v>
      </c>
      <c r="E22" s="586">
        <v>0</v>
      </c>
      <c r="F22" s="586">
        <v>0</v>
      </c>
      <c r="G22" s="586">
        <v>0</v>
      </c>
      <c r="H22" s="586">
        <v>0</v>
      </c>
      <c r="I22" s="586">
        <v>0</v>
      </c>
      <c r="J22" s="586">
        <v>0</v>
      </c>
      <c r="K22" s="586">
        <v>0</v>
      </c>
      <c r="L22" s="586">
        <v>0</v>
      </c>
    </row>
    <row r="23" spans="1:12" ht="14.5" hidden="1">
      <c r="A23" s="584" t="s">
        <v>830</v>
      </c>
      <c r="B23" s="584" t="s">
        <v>918</v>
      </c>
      <c r="C23" s="583">
        <v>0</v>
      </c>
      <c r="D23" s="583">
        <v>0</v>
      </c>
      <c r="E23" s="583">
        <v>0</v>
      </c>
      <c r="F23" s="583">
        <v>0</v>
      </c>
      <c r="G23" s="583">
        <v>0</v>
      </c>
      <c r="H23" s="583">
        <v>0</v>
      </c>
      <c r="I23" s="583">
        <v>0</v>
      </c>
      <c r="J23" s="583">
        <v>0</v>
      </c>
      <c r="K23" s="583">
        <v>0</v>
      </c>
      <c r="L23" s="583">
        <v>0</v>
      </c>
    </row>
    <row r="24" spans="1:12" ht="14.5" hidden="1">
      <c r="A24" s="584" t="s">
        <v>830</v>
      </c>
      <c r="B24" s="584" t="s">
        <v>917</v>
      </c>
      <c r="C24" s="586">
        <v>0</v>
      </c>
      <c r="D24" s="586">
        <v>0</v>
      </c>
      <c r="E24" s="586">
        <v>0</v>
      </c>
      <c r="F24" s="586">
        <v>0</v>
      </c>
      <c r="G24" s="586">
        <v>0</v>
      </c>
      <c r="H24" s="586">
        <v>0</v>
      </c>
      <c r="I24" s="586">
        <v>0</v>
      </c>
      <c r="J24" s="586">
        <v>0</v>
      </c>
      <c r="K24" s="586">
        <v>0</v>
      </c>
      <c r="L24" s="586">
        <v>0</v>
      </c>
    </row>
    <row r="25" spans="1:12" ht="14.5" hidden="1">
      <c r="A25" s="584" t="s">
        <v>830</v>
      </c>
      <c r="B25" s="584" t="s">
        <v>916</v>
      </c>
      <c r="C25" s="583">
        <v>0</v>
      </c>
      <c r="D25" s="583">
        <v>0</v>
      </c>
      <c r="E25" s="583">
        <v>0</v>
      </c>
      <c r="F25" s="583">
        <v>0</v>
      </c>
      <c r="G25" s="583">
        <v>0</v>
      </c>
      <c r="H25" s="583">
        <v>0</v>
      </c>
      <c r="I25" s="583">
        <v>0</v>
      </c>
      <c r="J25" s="583">
        <v>0</v>
      </c>
      <c r="K25" s="583">
        <v>0</v>
      </c>
      <c r="L25" s="583">
        <v>0</v>
      </c>
    </row>
    <row r="26" spans="1:12" ht="14.5" hidden="1">
      <c r="A26" s="584" t="s">
        <v>830</v>
      </c>
      <c r="B26" s="584" t="s">
        <v>915</v>
      </c>
      <c r="C26" s="586">
        <v>0</v>
      </c>
      <c r="D26" s="586">
        <v>0</v>
      </c>
      <c r="E26" s="586">
        <v>0</v>
      </c>
      <c r="F26" s="586">
        <v>0</v>
      </c>
      <c r="G26" s="586">
        <v>0</v>
      </c>
      <c r="H26" s="586">
        <v>0</v>
      </c>
      <c r="I26" s="586">
        <v>0</v>
      </c>
      <c r="J26" s="586">
        <v>0</v>
      </c>
      <c r="K26" s="586">
        <v>0</v>
      </c>
      <c r="L26" s="586">
        <v>0</v>
      </c>
    </row>
    <row r="27" spans="1:12" ht="14.5" hidden="1">
      <c r="A27" s="584" t="s">
        <v>830</v>
      </c>
      <c r="B27" s="584" t="s">
        <v>914</v>
      </c>
      <c r="C27" s="583">
        <v>0</v>
      </c>
      <c r="D27" s="583">
        <v>0</v>
      </c>
      <c r="E27" s="583">
        <v>0</v>
      </c>
      <c r="F27" s="583">
        <v>0</v>
      </c>
      <c r="G27" s="583">
        <v>0</v>
      </c>
      <c r="H27" s="583">
        <v>0</v>
      </c>
      <c r="I27" s="583">
        <v>0</v>
      </c>
      <c r="J27" s="583">
        <v>0</v>
      </c>
      <c r="K27" s="583">
        <v>0</v>
      </c>
      <c r="L27" s="583">
        <v>0</v>
      </c>
    </row>
    <row r="28" spans="1:12" ht="14.5" hidden="1">
      <c r="A28" s="584" t="s">
        <v>830</v>
      </c>
      <c r="B28" s="584" t="s">
        <v>913</v>
      </c>
      <c r="C28" s="586">
        <v>0</v>
      </c>
      <c r="D28" s="586">
        <v>0</v>
      </c>
      <c r="E28" s="586">
        <v>0</v>
      </c>
      <c r="F28" s="586">
        <v>0</v>
      </c>
      <c r="G28" s="586">
        <v>0</v>
      </c>
      <c r="H28" s="586">
        <v>0</v>
      </c>
      <c r="I28" s="586">
        <v>0</v>
      </c>
      <c r="J28" s="586">
        <v>0</v>
      </c>
      <c r="K28" s="586">
        <v>0</v>
      </c>
      <c r="L28" s="586">
        <v>0</v>
      </c>
    </row>
    <row r="29" spans="1:12" ht="14.5">
      <c r="A29" s="594" t="s">
        <v>830</v>
      </c>
      <c r="B29" s="594" t="s">
        <v>74</v>
      </c>
      <c r="C29" s="582">
        <v>337533.217</v>
      </c>
      <c r="D29" s="582">
        <v>347106.49099999998</v>
      </c>
      <c r="E29" s="582">
        <v>415918.23100000003</v>
      </c>
      <c r="F29" s="582">
        <v>380386.598</v>
      </c>
      <c r="G29" s="583">
        <v>402781.5</v>
      </c>
      <c r="H29" s="583">
        <v>399958.62</v>
      </c>
      <c r="I29" s="582">
        <v>401073.924</v>
      </c>
      <c r="J29" s="582">
        <v>448516.283</v>
      </c>
      <c r="K29" s="582">
        <v>396403.46399999998</v>
      </c>
      <c r="L29" s="582">
        <v>416377.53700000001</v>
      </c>
    </row>
    <row r="30" spans="1:12" ht="14.5">
      <c r="A30" s="594" t="s">
        <v>830</v>
      </c>
      <c r="B30" s="594" t="s">
        <v>912</v>
      </c>
      <c r="C30" s="585">
        <v>293915.44500000001</v>
      </c>
      <c r="D30" s="585">
        <v>308317.272</v>
      </c>
      <c r="E30" s="586">
        <v>328876.5</v>
      </c>
      <c r="F30" s="585">
        <v>301114.647</v>
      </c>
      <c r="G30" s="585">
        <v>294045.98700000002</v>
      </c>
      <c r="H30" s="585">
        <v>295545.43699999998</v>
      </c>
      <c r="I30" s="585">
        <v>292935.44099999999</v>
      </c>
      <c r="J30" s="585">
        <v>135614.39499999999</v>
      </c>
      <c r="K30" s="585">
        <v>140023.11799999999</v>
      </c>
      <c r="L30" s="586">
        <v>114999.27</v>
      </c>
    </row>
    <row r="31" spans="1:12" ht="14.5">
      <c r="A31" s="594" t="s">
        <v>830</v>
      </c>
      <c r="B31" s="594" t="s">
        <v>911</v>
      </c>
      <c r="C31" s="585">
        <v>15328.323</v>
      </c>
      <c r="D31" s="585">
        <v>16064.819</v>
      </c>
      <c r="E31" s="585">
        <v>19379.050999999999</v>
      </c>
      <c r="F31" s="585">
        <v>16690.377</v>
      </c>
      <c r="G31" s="585">
        <v>14018.093999999999</v>
      </c>
      <c r="H31" s="585">
        <v>17617.266</v>
      </c>
      <c r="I31" s="585">
        <v>11543.832</v>
      </c>
      <c r="J31" s="586">
        <v>7322.58</v>
      </c>
      <c r="K31" s="585">
        <v>7796.3940000000002</v>
      </c>
      <c r="L31" s="585">
        <v>7150.2839999999997</v>
      </c>
    </row>
    <row r="32" spans="1:12" ht="14.5">
      <c r="A32" s="594" t="s">
        <v>830</v>
      </c>
      <c r="B32" s="594" t="s">
        <v>910</v>
      </c>
      <c r="C32" s="582">
        <v>5007.4449999999997</v>
      </c>
      <c r="D32" s="582">
        <v>5007.4449999999997</v>
      </c>
      <c r="E32" s="582">
        <v>5007.4449999999997</v>
      </c>
      <c r="F32" s="582">
        <v>5007.4449999999997</v>
      </c>
      <c r="G32" s="582">
        <v>4862.3149999999996</v>
      </c>
      <c r="H32" s="582">
        <v>4862.3149999999996</v>
      </c>
      <c r="I32" s="582">
        <v>4862.3149999999996</v>
      </c>
      <c r="J32" s="582">
        <v>4862.3149999999996</v>
      </c>
      <c r="K32" s="582">
        <v>4862.3149999999996</v>
      </c>
      <c r="L32" s="582">
        <v>4862.3149999999996</v>
      </c>
    </row>
    <row r="33" spans="1:13" ht="14.5">
      <c r="A33" s="594" t="s">
        <v>830</v>
      </c>
      <c r="B33" s="594" t="s">
        <v>909</v>
      </c>
      <c r="C33" s="582">
        <v>273579.67700000003</v>
      </c>
      <c r="D33" s="582">
        <v>287245.00799999997</v>
      </c>
      <c r="E33" s="582">
        <v>304490.00400000002</v>
      </c>
      <c r="F33" s="582">
        <v>279416.82500000001</v>
      </c>
      <c r="G33" s="582">
        <v>275165.57799999998</v>
      </c>
      <c r="H33" s="582">
        <v>273065.85600000003</v>
      </c>
      <c r="I33" s="582">
        <v>276529.29399999999</v>
      </c>
      <c r="J33" s="583">
        <v>123429.5</v>
      </c>
      <c r="K33" s="582">
        <v>127364.409</v>
      </c>
      <c r="L33" s="582">
        <v>102986.671</v>
      </c>
    </row>
    <row r="34" spans="1:13" ht="14.5">
      <c r="A34" s="594" t="s">
        <v>830</v>
      </c>
      <c r="B34" s="594" t="s">
        <v>835</v>
      </c>
      <c r="C34" s="582">
        <v>75315.629000000001</v>
      </c>
      <c r="D34" s="582">
        <v>81764.510999999999</v>
      </c>
      <c r="E34" s="582">
        <v>85779.278000000006</v>
      </c>
      <c r="F34" s="582">
        <v>75427.385999999999</v>
      </c>
      <c r="G34" s="582">
        <v>82890.468999999997</v>
      </c>
      <c r="H34" s="583">
        <v>82234.720000000001</v>
      </c>
      <c r="I34" s="582">
        <v>85742.468999999997</v>
      </c>
      <c r="J34" s="582">
        <v>88155.035999999993</v>
      </c>
      <c r="K34" s="583">
        <v>90179.67</v>
      </c>
      <c r="L34" s="582">
        <v>90448.187000000005</v>
      </c>
      <c r="M34" s="693">
        <f>SUM(L35:L42)</f>
        <v>90448.187000000005</v>
      </c>
    </row>
    <row r="35" spans="1:13" ht="14.5">
      <c r="A35" s="594" t="s">
        <v>830</v>
      </c>
      <c r="B35" s="594" t="s">
        <v>908</v>
      </c>
      <c r="C35" s="583">
        <v>1883</v>
      </c>
      <c r="D35" s="583">
        <v>1930</v>
      </c>
      <c r="E35" s="583">
        <v>1994</v>
      </c>
      <c r="F35" s="583">
        <v>2633</v>
      </c>
      <c r="G35" s="583">
        <v>1901</v>
      </c>
      <c r="H35" s="583">
        <v>2083</v>
      </c>
      <c r="I35" s="583">
        <v>2399</v>
      </c>
      <c r="J35" s="583">
        <v>2596</v>
      </c>
      <c r="K35" s="583">
        <v>2330</v>
      </c>
      <c r="L35" s="583">
        <v>2398</v>
      </c>
    </row>
    <row r="36" spans="1:13" ht="14.5">
      <c r="A36" s="594" t="s">
        <v>830</v>
      </c>
      <c r="B36" s="594" t="s">
        <v>834</v>
      </c>
      <c r="C36" s="583">
        <v>1144</v>
      </c>
      <c r="D36" s="583">
        <v>1141</v>
      </c>
      <c r="E36" s="583">
        <v>1112</v>
      </c>
      <c r="F36" s="583">
        <v>1161</v>
      </c>
      <c r="G36" s="583">
        <v>1211</v>
      </c>
      <c r="H36" s="583">
        <v>1189</v>
      </c>
      <c r="I36" s="583">
        <v>1195</v>
      </c>
      <c r="J36" s="583">
        <v>1335</v>
      </c>
      <c r="K36" s="583">
        <v>1264</v>
      </c>
      <c r="L36" s="583">
        <v>1293</v>
      </c>
    </row>
    <row r="37" spans="1:13" ht="14.5">
      <c r="A37" s="594" t="s">
        <v>830</v>
      </c>
      <c r="B37" s="594" t="s">
        <v>833</v>
      </c>
      <c r="C37" s="586">
        <v>1615</v>
      </c>
      <c r="D37" s="586">
        <v>1806</v>
      </c>
      <c r="E37" s="586">
        <v>1999</v>
      </c>
      <c r="F37" s="586">
        <v>2222</v>
      </c>
      <c r="G37" s="586">
        <v>2456</v>
      </c>
      <c r="H37" s="586">
        <v>2809</v>
      </c>
      <c r="I37" s="586">
        <v>3234</v>
      </c>
      <c r="J37" s="586">
        <v>3661</v>
      </c>
      <c r="K37" s="586">
        <v>4184</v>
      </c>
      <c r="L37" s="586">
        <v>4699</v>
      </c>
    </row>
    <row r="38" spans="1:13" ht="14.5">
      <c r="A38" s="594" t="s">
        <v>830</v>
      </c>
      <c r="B38" s="594" t="s">
        <v>832</v>
      </c>
      <c r="C38" s="583">
        <v>51722</v>
      </c>
      <c r="D38" s="583">
        <v>56813</v>
      </c>
      <c r="E38" s="583">
        <v>60713</v>
      </c>
      <c r="F38" s="583">
        <v>47815</v>
      </c>
      <c r="G38" s="583">
        <v>54926</v>
      </c>
      <c r="H38" s="583">
        <v>52997</v>
      </c>
      <c r="I38" s="583">
        <v>55195</v>
      </c>
      <c r="J38" s="583">
        <v>61656</v>
      </c>
      <c r="K38" s="583">
        <v>63983</v>
      </c>
      <c r="L38" s="583">
        <v>63797</v>
      </c>
    </row>
    <row r="39" spans="1:13" ht="14.5">
      <c r="A39" s="594" t="s">
        <v>830</v>
      </c>
      <c r="B39" s="594" t="s">
        <v>907</v>
      </c>
      <c r="C39" s="586">
        <v>384</v>
      </c>
      <c r="D39" s="586">
        <v>416</v>
      </c>
      <c r="E39" s="586">
        <v>384</v>
      </c>
      <c r="F39" s="586">
        <v>384</v>
      </c>
      <c r="G39" s="586">
        <v>384</v>
      </c>
      <c r="H39" s="586">
        <v>352</v>
      </c>
      <c r="I39" s="586">
        <v>352</v>
      </c>
      <c r="J39" s="586">
        <v>384</v>
      </c>
      <c r="K39" s="586">
        <v>352</v>
      </c>
      <c r="L39" s="586">
        <v>256</v>
      </c>
    </row>
    <row r="40" spans="1:13" ht="14.5">
      <c r="A40" s="594" t="s">
        <v>830</v>
      </c>
      <c r="B40" s="594" t="s">
        <v>906</v>
      </c>
      <c r="C40" s="585">
        <v>6027.0879999999997</v>
      </c>
      <c r="D40" s="585">
        <v>6311.415</v>
      </c>
      <c r="E40" s="585">
        <v>5685.1239999999998</v>
      </c>
      <c r="F40" s="585">
        <v>6042.6360000000004</v>
      </c>
      <c r="G40" s="586">
        <v>5591.97</v>
      </c>
      <c r="H40" s="586">
        <v>5627.4</v>
      </c>
      <c r="I40" s="585">
        <v>5747.2449999999999</v>
      </c>
      <c r="J40" s="585">
        <v>222.36600000000001</v>
      </c>
      <c r="K40" s="586">
        <v>0</v>
      </c>
      <c r="L40" s="586">
        <v>0</v>
      </c>
    </row>
    <row r="41" spans="1:13" ht="14.5">
      <c r="A41" s="594" t="s">
        <v>830</v>
      </c>
      <c r="B41" s="594" t="s">
        <v>905</v>
      </c>
      <c r="C41" s="582">
        <v>691.54100000000005</v>
      </c>
      <c r="D41" s="582">
        <v>252.096</v>
      </c>
      <c r="E41" s="582">
        <v>596.154</v>
      </c>
      <c r="F41" s="583">
        <v>618.75</v>
      </c>
      <c r="G41" s="582">
        <v>737.49900000000002</v>
      </c>
      <c r="H41" s="583">
        <v>782.32</v>
      </c>
      <c r="I41" s="582">
        <v>829.22400000000005</v>
      </c>
      <c r="J41" s="583">
        <v>1032.67</v>
      </c>
      <c r="K41" s="583">
        <v>1211.67</v>
      </c>
      <c r="L41" s="582">
        <v>1230.1869999999999</v>
      </c>
    </row>
    <row r="42" spans="1:13" ht="14.5">
      <c r="A42" s="594" t="s">
        <v>830</v>
      </c>
      <c r="B42" s="594" t="s">
        <v>831</v>
      </c>
      <c r="C42" s="586">
        <v>11779</v>
      </c>
      <c r="D42" s="586">
        <v>13095</v>
      </c>
      <c r="E42" s="586">
        <v>13296</v>
      </c>
      <c r="F42" s="586">
        <v>14551</v>
      </c>
      <c r="G42" s="586">
        <v>15683</v>
      </c>
      <c r="H42" s="586">
        <v>16395</v>
      </c>
      <c r="I42" s="586">
        <v>16791</v>
      </c>
      <c r="J42" s="586">
        <v>17268</v>
      </c>
      <c r="K42" s="586">
        <v>16855</v>
      </c>
      <c r="L42" s="586">
        <v>16775</v>
      </c>
    </row>
    <row r="43" spans="1:13" ht="14.5" hidden="1">
      <c r="A43" s="584" t="s">
        <v>830</v>
      </c>
      <c r="B43" s="584" t="s">
        <v>904</v>
      </c>
      <c r="C43" s="586">
        <v>70</v>
      </c>
      <c r="D43" s="586">
        <v>0</v>
      </c>
      <c r="E43" s="586">
        <v>0</v>
      </c>
      <c r="F43" s="586">
        <v>0</v>
      </c>
      <c r="G43" s="586">
        <v>0</v>
      </c>
      <c r="H43" s="586">
        <v>0</v>
      </c>
      <c r="I43" s="586">
        <v>0</v>
      </c>
      <c r="J43" s="586">
        <v>0</v>
      </c>
      <c r="K43" s="586">
        <v>0</v>
      </c>
      <c r="L43" s="586">
        <v>0</v>
      </c>
    </row>
    <row r="44" spans="1:13" ht="14.5" hidden="1">
      <c r="A44" s="584" t="s">
        <v>830</v>
      </c>
      <c r="B44" s="584" t="s">
        <v>903</v>
      </c>
      <c r="C44" s="583">
        <v>70</v>
      </c>
      <c r="D44" s="583">
        <v>0</v>
      </c>
      <c r="E44" s="583">
        <v>0</v>
      </c>
      <c r="F44" s="583">
        <v>0</v>
      </c>
      <c r="G44" s="583">
        <v>0</v>
      </c>
      <c r="H44" s="583">
        <v>0</v>
      </c>
      <c r="I44" s="583">
        <v>0</v>
      </c>
      <c r="J44" s="583">
        <v>0</v>
      </c>
      <c r="K44" s="583">
        <v>0</v>
      </c>
      <c r="L44" s="583">
        <v>0</v>
      </c>
    </row>
    <row r="45" spans="1:13" ht="14.5" hidden="1">
      <c r="A45" s="584" t="s">
        <v>830</v>
      </c>
      <c r="B45" s="584" t="s">
        <v>902</v>
      </c>
      <c r="C45" s="586">
        <v>70</v>
      </c>
      <c r="D45" s="586">
        <v>0</v>
      </c>
      <c r="E45" s="586">
        <v>0</v>
      </c>
      <c r="F45" s="586">
        <v>0</v>
      </c>
      <c r="G45" s="586">
        <v>0</v>
      </c>
      <c r="H45" s="586">
        <v>0</v>
      </c>
      <c r="I45" s="586">
        <v>0</v>
      </c>
      <c r="J45" s="586">
        <v>0</v>
      </c>
      <c r="K45" s="586">
        <v>0</v>
      </c>
      <c r="L45" s="586">
        <v>0</v>
      </c>
    </row>
    <row r="46" spans="1:13" ht="14.5">
      <c r="A46" s="594" t="s">
        <v>830</v>
      </c>
      <c r="B46" s="594" t="s">
        <v>73</v>
      </c>
      <c r="C46" s="586">
        <v>490701.6</v>
      </c>
      <c r="D46" s="586">
        <v>501156</v>
      </c>
      <c r="E46" s="586">
        <v>511423.2</v>
      </c>
      <c r="F46" s="586">
        <v>473454</v>
      </c>
      <c r="G46" s="586">
        <v>506649.59999999998</v>
      </c>
      <c r="H46" s="586">
        <v>509706</v>
      </c>
      <c r="I46" s="586">
        <v>499518</v>
      </c>
      <c r="J46" s="586">
        <v>480492</v>
      </c>
      <c r="K46" s="586">
        <v>467906.4</v>
      </c>
      <c r="L46" s="586">
        <v>451270.8</v>
      </c>
    </row>
    <row r="47" spans="1:13" ht="14.5">
      <c r="A47" s="594" t="s">
        <v>830</v>
      </c>
      <c r="B47" s="594" t="s">
        <v>200</v>
      </c>
      <c r="C47" s="583">
        <v>85256</v>
      </c>
      <c r="D47" s="583">
        <v>98281</v>
      </c>
      <c r="E47" s="583">
        <v>60742</v>
      </c>
      <c r="F47" s="583">
        <v>55496</v>
      </c>
      <c r="G47" s="583">
        <v>57843</v>
      </c>
      <c r="H47" s="583">
        <v>45553</v>
      </c>
      <c r="I47" s="583">
        <v>52950</v>
      </c>
      <c r="J47" s="583">
        <v>56031</v>
      </c>
      <c r="K47" s="583">
        <v>58194</v>
      </c>
      <c r="L47" s="583">
        <v>47737</v>
      </c>
    </row>
    <row r="48" spans="1:13" ht="14.5">
      <c r="A48" s="584" t="s">
        <v>830</v>
      </c>
      <c r="B48" s="584" t="s">
        <v>901</v>
      </c>
      <c r="C48" s="585">
        <v>108713.163</v>
      </c>
      <c r="D48" s="585">
        <v>122525.099</v>
      </c>
      <c r="E48" s="585">
        <v>124483.473</v>
      </c>
      <c r="F48" s="585">
        <v>113514.75199999999</v>
      </c>
      <c r="G48" s="585">
        <v>125026.966</v>
      </c>
      <c r="H48" s="585">
        <v>122678.511</v>
      </c>
      <c r="I48" s="585">
        <v>125594.814</v>
      </c>
      <c r="J48" s="586">
        <v>127921.82</v>
      </c>
      <c r="K48" s="585">
        <v>131184.15400000001</v>
      </c>
      <c r="L48" s="585">
        <v>131099.723</v>
      </c>
    </row>
    <row r="49" spans="1:12" ht="14.5">
      <c r="A49" s="584" t="s">
        <v>830</v>
      </c>
      <c r="B49" s="584" t="s">
        <v>900</v>
      </c>
      <c r="C49" s="583">
        <v>1012086.79</v>
      </c>
      <c r="D49" s="582">
        <v>1049216.2450000001</v>
      </c>
      <c r="E49" s="582">
        <v>1106498.227</v>
      </c>
      <c r="F49" s="582">
        <v>1004194.2709999999</v>
      </c>
      <c r="G49" s="582">
        <v>1036152.246</v>
      </c>
      <c r="H49" s="582">
        <v>1025362.476</v>
      </c>
      <c r="I49" s="582">
        <v>1010695.968</v>
      </c>
      <c r="J49" s="582">
        <v>883393.48199999996</v>
      </c>
      <c r="K49" s="582">
        <v>803987.40899999999</v>
      </c>
      <c r="L49" s="582">
        <v>767675.34499999997</v>
      </c>
    </row>
    <row r="50" spans="1:12" ht="11.4" customHeight="1">
      <c r="C50" s="640"/>
      <c r="D50" s="640"/>
      <c r="E50" s="640"/>
      <c r="F50" s="640"/>
      <c r="G50" s="640"/>
      <c r="H50" s="640"/>
      <c r="I50" s="640">
        <f t="shared" ref="I50:K50" si="0">I48-SUM(I38:I42)</f>
        <v>46680.344999999987</v>
      </c>
      <c r="J50" s="640">
        <f t="shared" si="0"/>
        <v>47358.784000000014</v>
      </c>
      <c r="K50" s="640">
        <f t="shared" si="0"/>
        <v>48782.484000000011</v>
      </c>
      <c r="L50" s="640">
        <f>L48-SUM(L38:L42)</f>
        <v>49041.535999999993</v>
      </c>
    </row>
    <row r="51" spans="1:12" ht="14.5">
      <c r="A51" s="581" t="s">
        <v>829</v>
      </c>
      <c r="C51" s="640"/>
      <c r="D51" s="640"/>
      <c r="E51" s="640"/>
      <c r="F51" s="640"/>
      <c r="G51" s="640"/>
      <c r="H51" s="640"/>
      <c r="I51" s="640"/>
      <c r="J51" s="640"/>
      <c r="K51" s="640"/>
      <c r="L51" s="640"/>
    </row>
    <row r="52" spans="1:12" ht="14.5">
      <c r="A52" s="581" t="s">
        <v>899</v>
      </c>
      <c r="B52" s="580" t="s">
        <v>828</v>
      </c>
    </row>
    <row r="53" spans="1:12" ht="14.5">
      <c r="A53" s="581" t="s">
        <v>898</v>
      </c>
    </row>
    <row r="54" spans="1:12" ht="14.5">
      <c r="A54" s="581" t="s">
        <v>897</v>
      </c>
      <c r="B54" s="580" t="s">
        <v>896</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716</v>
      </c>
    </row>
    <row r="3" spans="2:9">
      <c r="C3" t="s">
        <v>181</v>
      </c>
      <c r="D3" t="s">
        <v>173</v>
      </c>
      <c r="E3" t="s">
        <v>271</v>
      </c>
      <c r="F3" t="s">
        <v>717</v>
      </c>
      <c r="G3" t="s">
        <v>273</v>
      </c>
      <c r="H3" t="s">
        <v>272</v>
      </c>
      <c r="I3" t="s">
        <v>264</v>
      </c>
    </row>
    <row r="4" spans="2:9">
      <c r="B4" t="s">
        <v>956</v>
      </c>
      <c r="C4" s="515">
        <v>1</v>
      </c>
      <c r="D4" s="515">
        <v>1</v>
      </c>
      <c r="E4" s="515">
        <v>1</v>
      </c>
      <c r="F4" s="515">
        <v>1</v>
      </c>
      <c r="G4" s="515">
        <v>1</v>
      </c>
      <c r="H4" s="515">
        <v>1</v>
      </c>
      <c r="I4" s="515">
        <v>1</v>
      </c>
    </row>
    <row r="5" spans="2:9">
      <c r="B5" t="s">
        <v>969</v>
      </c>
      <c r="C5" s="515">
        <v>0</v>
      </c>
      <c r="D5" s="515">
        <v>0</v>
      </c>
      <c r="E5" s="515">
        <v>0</v>
      </c>
      <c r="F5" s="515">
        <v>0</v>
      </c>
      <c r="G5" s="515">
        <v>0</v>
      </c>
      <c r="H5" s="515">
        <v>0</v>
      </c>
      <c r="I5" s="515">
        <v>0</v>
      </c>
    </row>
    <row r="6" spans="2:9">
      <c r="B6" t="s">
        <v>972</v>
      </c>
      <c r="C6" s="635">
        <v>0</v>
      </c>
      <c r="D6" s="635">
        <v>0</v>
      </c>
      <c r="E6" s="635">
        <v>0</v>
      </c>
      <c r="F6" s="635">
        <v>0</v>
      </c>
      <c r="G6" s="635">
        <v>0</v>
      </c>
      <c r="H6" s="635">
        <v>0</v>
      </c>
      <c r="I6" s="635">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32" sqref="C3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203</v>
      </c>
    </row>
    <row r="4" spans="2:22" ht="13">
      <c r="B4" t="s">
        <v>206</v>
      </c>
      <c r="C4" t="s">
        <v>208</v>
      </c>
      <c r="D4" t="s">
        <v>209</v>
      </c>
      <c r="E4" t="s">
        <v>207</v>
      </c>
      <c r="S4" s="132" t="s">
        <v>767</v>
      </c>
    </row>
    <row r="5" spans="2:22" ht="28.75" customHeight="1">
      <c r="B5" s="331" t="s">
        <v>204</v>
      </c>
      <c r="C5" s="331" t="s">
        <v>211</v>
      </c>
      <c r="D5" s="332">
        <v>0.3</v>
      </c>
      <c r="E5" s="651" t="s">
        <v>205</v>
      </c>
    </row>
    <row r="6" spans="2:22" ht="28.75" customHeight="1">
      <c r="B6" s="331" t="s">
        <v>204</v>
      </c>
      <c r="C6" s="331" t="s">
        <v>210</v>
      </c>
      <c r="D6" s="333">
        <v>0.7</v>
      </c>
      <c r="E6" s="651"/>
      <c r="S6" s="132" t="s">
        <v>764</v>
      </c>
    </row>
    <row r="7" spans="2:22">
      <c r="T7" s="106" t="s">
        <v>102</v>
      </c>
      <c r="U7" s="106" t="s">
        <v>765</v>
      </c>
    </row>
    <row r="8" spans="2:22">
      <c r="B8" s="106"/>
      <c r="S8" s="156">
        <v>2011</v>
      </c>
      <c r="T8" s="521">
        <v>4.0054008414882007</v>
      </c>
      <c r="U8" s="521">
        <v>3.1390555577411314</v>
      </c>
      <c r="V8" s="106" t="s">
        <v>766</v>
      </c>
    </row>
    <row r="9" spans="2:22">
      <c r="S9" s="156">
        <v>2016</v>
      </c>
      <c r="T9" s="521">
        <v>4.7531666045225966</v>
      </c>
      <c r="U9" s="521">
        <v>3.6871365087455148</v>
      </c>
      <c r="V9" s="106" t="s">
        <v>766</v>
      </c>
    </row>
    <row r="10" spans="2:22">
      <c r="S10" s="156">
        <v>2021</v>
      </c>
      <c r="T10" s="521">
        <v>6.0763888888888884</v>
      </c>
      <c r="U10" s="521">
        <v>6.0763888888888884</v>
      </c>
      <c r="V10" s="106" t="s">
        <v>766</v>
      </c>
    </row>
    <row r="11" spans="2:22">
      <c r="S11" s="164">
        <v>2031</v>
      </c>
      <c r="T11" s="521">
        <v>6.9444444444444446</v>
      </c>
      <c r="U11" s="521">
        <v>6.9444444444444446</v>
      </c>
      <c r="V11" s="106" t="s">
        <v>766</v>
      </c>
    </row>
    <row r="12" spans="2:22">
      <c r="B12" s="335" t="s">
        <v>216</v>
      </c>
    </row>
    <row r="13" spans="2:22">
      <c r="D13">
        <v>2008</v>
      </c>
      <c r="E13">
        <v>2009</v>
      </c>
      <c r="F13">
        <v>2010</v>
      </c>
      <c r="G13">
        <v>2011</v>
      </c>
      <c r="H13">
        <v>2012</v>
      </c>
      <c r="I13">
        <v>2013</v>
      </c>
      <c r="J13">
        <v>2014</v>
      </c>
      <c r="K13">
        <v>2015</v>
      </c>
      <c r="L13">
        <v>2016</v>
      </c>
      <c r="M13">
        <v>2017</v>
      </c>
    </row>
    <row r="14" spans="2:22">
      <c r="C14" t="s">
        <v>212</v>
      </c>
      <c r="D14" s="334">
        <v>81752</v>
      </c>
      <c r="E14" s="334">
        <v>81752</v>
      </c>
      <c r="F14" s="334">
        <v>81752</v>
      </c>
      <c r="G14" s="334">
        <v>80327</v>
      </c>
      <c r="H14">
        <v>80523</v>
      </c>
      <c r="I14" s="106">
        <v>80767</v>
      </c>
      <c r="J14" s="106">
        <v>81198</v>
      </c>
      <c r="K14" s="106">
        <v>82176</v>
      </c>
      <c r="L14" s="106">
        <v>82522</v>
      </c>
      <c r="M14" s="106">
        <v>82792</v>
      </c>
      <c r="N14" t="s">
        <v>940</v>
      </c>
    </row>
    <row r="15" spans="2:22">
      <c r="C15" s="106" t="s">
        <v>215</v>
      </c>
      <c r="D15">
        <v>3393</v>
      </c>
      <c r="E15">
        <v>3410</v>
      </c>
      <c r="F15">
        <v>3558</v>
      </c>
      <c r="G15">
        <v>3577</v>
      </c>
      <c r="H15">
        <v>3598</v>
      </c>
      <c r="I15" s="106">
        <v>3620</v>
      </c>
      <c r="J15" s="106">
        <v>3646</v>
      </c>
      <c r="K15" s="106">
        <v>3670</v>
      </c>
      <c r="L15" s="106">
        <v>3698</v>
      </c>
      <c r="M15" s="106">
        <v>3725</v>
      </c>
      <c r="N15" t="s">
        <v>941</v>
      </c>
    </row>
    <row r="16" spans="2:22">
      <c r="C16" t="s">
        <v>213</v>
      </c>
      <c r="D16">
        <v>43297</v>
      </c>
      <c r="E16">
        <v>38051</v>
      </c>
      <c r="F16">
        <v>39101</v>
      </c>
      <c r="G16">
        <v>39649</v>
      </c>
      <c r="H16">
        <v>34679</v>
      </c>
      <c r="I16" s="106">
        <v>33997</v>
      </c>
      <c r="J16" s="106">
        <v>37522</v>
      </c>
      <c r="K16" s="106">
        <v>39969</v>
      </c>
      <c r="L16" s="106">
        <v>44387</v>
      </c>
      <c r="M16" s="106">
        <v>39473</v>
      </c>
      <c r="N16" t="s">
        <v>942</v>
      </c>
    </row>
    <row r="17" spans="2:14">
      <c r="C17" t="s">
        <v>214</v>
      </c>
      <c r="D17">
        <v>206.53</v>
      </c>
      <c r="E17">
        <v>206.53</v>
      </c>
      <c r="F17">
        <v>206.53</v>
      </c>
      <c r="G17">
        <v>206.56</v>
      </c>
      <c r="H17">
        <v>202.33</v>
      </c>
      <c r="I17" s="106">
        <v>199.73</v>
      </c>
      <c r="J17" s="106">
        <v>192.4</v>
      </c>
      <c r="K17" s="106">
        <v>192.4</v>
      </c>
      <c r="L17" s="106">
        <v>192.4</v>
      </c>
      <c r="M17" s="106">
        <v>192.4</v>
      </c>
      <c r="N17" t="s">
        <v>943</v>
      </c>
    </row>
    <row r="18" spans="2:14">
      <c r="D18" s="220"/>
      <c r="E18" s="220"/>
      <c r="F18" s="220"/>
      <c r="G18" s="220"/>
      <c r="H18" s="220"/>
      <c r="I18" s="220"/>
      <c r="J18" s="220"/>
      <c r="K18" s="220"/>
      <c r="L18" s="220"/>
      <c r="M18" s="220"/>
    </row>
    <row r="20" spans="2:14">
      <c r="B20" t="s">
        <v>217</v>
      </c>
    </row>
    <row r="21" spans="2:14">
      <c r="B21" s="106" t="s">
        <v>218</v>
      </c>
    </row>
    <row r="22" spans="2:14">
      <c r="B22" s="106" t="s">
        <v>956</v>
      </c>
      <c r="C22">
        <f>'Data manipulation'!AF5*1000-C23-C24</f>
        <v>3725000</v>
      </c>
      <c r="D22" s="106" t="s">
        <v>221</v>
      </c>
    </row>
    <row r="23" spans="2:14">
      <c r="B23" s="106" t="s">
        <v>969</v>
      </c>
      <c r="C23" s="106">
        <v>0</v>
      </c>
      <c r="D23" s="106" t="s">
        <v>220</v>
      </c>
    </row>
    <row r="24" spans="2:14">
      <c r="B24" s="106" t="s">
        <v>972</v>
      </c>
      <c r="C24">
        <v>0</v>
      </c>
      <c r="D24" s="106" t="s">
        <v>219</v>
      </c>
    </row>
    <row r="25" spans="2:14">
      <c r="C25" s="336"/>
    </row>
    <row r="27" spans="2:14">
      <c r="B27" t="s">
        <v>217</v>
      </c>
    </row>
    <row r="28" spans="2:14">
      <c r="B28" s="106" t="s">
        <v>222</v>
      </c>
    </row>
    <row r="29" spans="2:14">
      <c r="B29" s="106" t="s">
        <v>956</v>
      </c>
      <c r="C29">
        <f>M14-C30-C31</f>
        <v>82792</v>
      </c>
      <c r="D29" s="106" t="s">
        <v>221</v>
      </c>
    </row>
    <row r="30" spans="2:14">
      <c r="B30" s="106" t="s">
        <v>969</v>
      </c>
      <c r="C30" s="106">
        <v>0</v>
      </c>
      <c r="D30" s="106" t="s">
        <v>220</v>
      </c>
    </row>
    <row r="31" spans="2:14">
      <c r="B31" s="106" t="s">
        <v>972</v>
      </c>
      <c r="C31">
        <v>0</v>
      </c>
      <c r="D31" s="106" t="s">
        <v>219</v>
      </c>
    </row>
    <row r="35" spans="2:8" ht="14">
      <c r="B35" s="300"/>
      <c r="C35" s="300"/>
      <c r="D35" s="300"/>
      <c r="E35" s="300"/>
      <c r="F35" s="300"/>
      <c r="G35" s="300"/>
      <c r="H35" s="300"/>
    </row>
    <row r="36" spans="2:8" ht="14">
      <c r="B36" t="s">
        <v>217</v>
      </c>
      <c r="G36" s="300"/>
      <c r="H36" s="300"/>
    </row>
    <row r="37" spans="2:8" ht="14">
      <c r="C37" s="300"/>
      <c r="D37" s="300"/>
      <c r="E37" s="300"/>
      <c r="F37" s="300"/>
      <c r="G37" s="300"/>
      <c r="H37" s="300"/>
    </row>
    <row r="38" spans="2:8" ht="14">
      <c r="B38" s="658" t="s">
        <v>223</v>
      </c>
      <c r="C38" s="658"/>
      <c r="D38" s="658"/>
      <c r="E38" s="658"/>
      <c r="F38" s="300"/>
      <c r="G38" s="300"/>
      <c r="H38" s="300"/>
    </row>
    <row r="39" spans="2:8" ht="14.5" thickBot="1">
      <c r="B39" s="337"/>
      <c r="C39" s="337"/>
      <c r="D39" s="337"/>
      <c r="E39" s="337"/>
      <c r="F39" s="300"/>
      <c r="G39" s="300"/>
      <c r="H39" s="300"/>
    </row>
    <row r="40" spans="2:8" ht="14">
      <c r="B40" s="656"/>
      <c r="C40" s="659" t="s">
        <v>224</v>
      </c>
      <c r="D40" s="646" t="s">
        <v>225</v>
      </c>
      <c r="E40" s="647"/>
      <c r="F40" s="300"/>
      <c r="G40" s="300"/>
      <c r="H40" s="300"/>
    </row>
    <row r="41" spans="2:8" ht="14.5" thickBot="1">
      <c r="B41" s="657"/>
      <c r="C41" s="660"/>
      <c r="D41" s="338" t="s">
        <v>226</v>
      </c>
      <c r="E41" s="339" t="s">
        <v>227</v>
      </c>
      <c r="F41" s="300"/>
      <c r="G41" s="300"/>
      <c r="H41" s="300"/>
    </row>
    <row r="42" spans="2:8" ht="16.5">
      <c r="B42" s="340" t="s">
        <v>228</v>
      </c>
      <c r="C42" s="341">
        <v>22.1</v>
      </c>
      <c r="D42" s="341">
        <v>19.600000000000001</v>
      </c>
      <c r="E42" s="342">
        <v>25</v>
      </c>
      <c r="F42" s="300"/>
      <c r="G42" s="300"/>
      <c r="H42" s="300"/>
    </row>
    <row r="43" spans="2:8" ht="16.5">
      <c r="B43" s="343" t="s">
        <v>229</v>
      </c>
      <c r="C43" s="344">
        <v>15.5</v>
      </c>
      <c r="D43" s="344">
        <v>14</v>
      </c>
      <c r="E43" s="345">
        <v>17.2</v>
      </c>
      <c r="F43" s="300"/>
      <c r="G43" s="300"/>
      <c r="H43" s="300"/>
    </row>
    <row r="44" spans="2:8" ht="14">
      <c r="B44" s="648" t="s">
        <v>230</v>
      </c>
      <c r="C44" s="649"/>
      <c r="D44" s="649"/>
      <c r="E44" s="650"/>
      <c r="F44" s="300"/>
      <c r="G44" s="300"/>
      <c r="H44" s="300"/>
    </row>
    <row r="45" spans="2:8" ht="14">
      <c r="B45" s="346" t="s">
        <v>92</v>
      </c>
      <c r="C45" s="347">
        <v>100</v>
      </c>
      <c r="D45" s="347">
        <v>100</v>
      </c>
      <c r="E45" s="348">
        <v>100</v>
      </c>
      <c r="F45" s="300"/>
      <c r="G45" s="300"/>
      <c r="H45" s="300"/>
    </row>
    <row r="46" spans="2:8" ht="16">
      <c r="B46" s="349" t="s">
        <v>231</v>
      </c>
      <c r="C46" s="350">
        <v>7.4</v>
      </c>
      <c r="D46" s="350">
        <v>10.5</v>
      </c>
      <c r="E46" s="351">
        <v>3.5</v>
      </c>
      <c r="F46" s="300"/>
      <c r="G46" s="300"/>
      <c r="H46" s="300"/>
    </row>
    <row r="47" spans="2:8" ht="16">
      <c r="B47" s="349" t="s">
        <v>232</v>
      </c>
      <c r="C47" s="350">
        <v>40.299999999999997</v>
      </c>
      <c r="D47" s="350">
        <v>46.1</v>
      </c>
      <c r="E47" s="351">
        <v>33.1</v>
      </c>
      <c r="F47" s="300"/>
      <c r="G47" s="300"/>
      <c r="H47" s="300"/>
    </row>
    <row r="48" spans="2:8" ht="16">
      <c r="B48" s="349" t="s">
        <v>233</v>
      </c>
      <c r="C48" s="350">
        <v>27.6</v>
      </c>
      <c r="D48" s="350">
        <v>24.3</v>
      </c>
      <c r="E48" s="351">
        <v>31.8</v>
      </c>
      <c r="F48" s="300"/>
      <c r="G48" s="300"/>
      <c r="H48" s="300"/>
    </row>
    <row r="49" spans="2:8" ht="16">
      <c r="B49" s="349" t="s">
        <v>234</v>
      </c>
      <c r="C49" s="350">
        <v>24.6</v>
      </c>
      <c r="D49" s="350">
        <v>19.100000000000001</v>
      </c>
      <c r="E49" s="351">
        <v>31.6</v>
      </c>
      <c r="F49" s="300"/>
      <c r="G49" s="300"/>
      <c r="H49" s="300"/>
    </row>
    <row r="50" spans="2:8" ht="14">
      <c r="B50" s="648" t="s">
        <v>235</v>
      </c>
      <c r="C50" s="649"/>
      <c r="D50" s="649"/>
      <c r="E50" s="650"/>
      <c r="F50" s="300"/>
      <c r="G50" s="300"/>
      <c r="H50" s="300"/>
    </row>
    <row r="51" spans="2:8" ht="14">
      <c r="B51" s="346" t="s">
        <v>92</v>
      </c>
      <c r="C51" s="347">
        <v>100</v>
      </c>
      <c r="D51" s="347">
        <v>100</v>
      </c>
      <c r="E51" s="348">
        <v>100</v>
      </c>
      <c r="F51" s="300"/>
      <c r="G51" s="300"/>
      <c r="H51" s="300"/>
    </row>
    <row r="52" spans="2:8" ht="16">
      <c r="B52" s="349" t="s">
        <v>231</v>
      </c>
      <c r="C52" s="350">
        <v>26.4</v>
      </c>
      <c r="D52" s="350">
        <v>32.700000000000003</v>
      </c>
      <c r="E52" s="351">
        <v>18.5</v>
      </c>
      <c r="F52" s="300"/>
      <c r="G52" s="300"/>
      <c r="H52" s="300"/>
    </row>
    <row r="53" spans="2:8" ht="16">
      <c r="B53" s="349" t="s">
        <v>232</v>
      </c>
      <c r="C53" s="350">
        <v>46.2</v>
      </c>
      <c r="D53" s="350">
        <v>44.7</v>
      </c>
      <c r="E53" s="351">
        <v>48.1</v>
      </c>
      <c r="F53" s="300"/>
      <c r="G53" s="300"/>
      <c r="H53" s="300"/>
    </row>
    <row r="54" spans="2:8" ht="16">
      <c r="B54" s="349" t="s">
        <v>233</v>
      </c>
      <c r="C54" s="350">
        <v>16.600000000000001</v>
      </c>
      <c r="D54" s="350">
        <v>13.8</v>
      </c>
      <c r="E54" s="351">
        <v>20.2</v>
      </c>
      <c r="F54" s="300"/>
      <c r="G54" s="300"/>
      <c r="H54" s="300"/>
    </row>
    <row r="55" spans="2:8" ht="16">
      <c r="B55" s="349" t="s">
        <v>234</v>
      </c>
      <c r="C55" s="350">
        <v>10.7</v>
      </c>
      <c r="D55" s="350">
        <v>8.8000000000000007</v>
      </c>
      <c r="E55" s="351">
        <v>13.2</v>
      </c>
      <c r="F55" s="300"/>
      <c r="G55" s="300"/>
      <c r="H55" s="300"/>
    </row>
    <row r="56" spans="2:8" ht="14">
      <c r="B56" s="653" t="s">
        <v>236</v>
      </c>
      <c r="C56" s="654"/>
      <c r="D56" s="654"/>
      <c r="E56" s="655"/>
      <c r="F56" s="300"/>
      <c r="G56" s="300"/>
      <c r="H56" s="300"/>
    </row>
    <row r="57" spans="2:8" ht="14">
      <c r="B57" s="346" t="s">
        <v>92</v>
      </c>
      <c r="C57" s="347">
        <v>100</v>
      </c>
      <c r="D57" s="347">
        <v>100</v>
      </c>
      <c r="E57" s="348">
        <v>100</v>
      </c>
      <c r="F57" s="300"/>
      <c r="G57" s="300"/>
      <c r="H57" s="300"/>
    </row>
    <row r="58" spans="2:8" ht="14">
      <c r="B58" s="349" t="s">
        <v>237</v>
      </c>
      <c r="C58" s="352">
        <v>3.6</v>
      </c>
      <c r="D58" s="352">
        <v>5.6</v>
      </c>
      <c r="E58" s="353">
        <v>1.1000000000000001</v>
      </c>
      <c r="F58" s="300"/>
      <c r="G58" s="300"/>
      <c r="H58" s="300"/>
    </row>
    <row r="59" spans="2:8" ht="14">
      <c r="B59" s="349" t="s">
        <v>238</v>
      </c>
      <c r="C59" s="352">
        <v>25</v>
      </c>
      <c r="D59" s="352">
        <v>30.4</v>
      </c>
      <c r="E59" s="353">
        <v>18.2</v>
      </c>
      <c r="F59" s="300"/>
      <c r="G59" s="300"/>
      <c r="H59" s="300"/>
    </row>
    <row r="60" spans="2:8" ht="14">
      <c r="B60" s="349" t="s">
        <v>239</v>
      </c>
      <c r="C60" s="352">
        <v>40.6</v>
      </c>
      <c r="D60" s="352">
        <v>39.5</v>
      </c>
      <c r="E60" s="353">
        <v>41.9</v>
      </c>
      <c r="F60" s="300"/>
      <c r="G60" s="300"/>
      <c r="H60" s="300"/>
    </row>
    <row r="61" spans="2:8" ht="14">
      <c r="B61" s="349" t="s">
        <v>240</v>
      </c>
      <c r="C61" s="352">
        <v>21.3</v>
      </c>
      <c r="D61" s="352">
        <v>17.8</v>
      </c>
      <c r="E61" s="353">
        <v>25.7</v>
      </c>
      <c r="F61" s="300"/>
      <c r="G61" s="300"/>
      <c r="H61" s="300"/>
    </row>
    <row r="62" spans="2:8" ht="14">
      <c r="B62" s="349" t="s">
        <v>241</v>
      </c>
      <c r="C62" s="352">
        <v>9.5</v>
      </c>
      <c r="D62" s="352">
        <v>6.7</v>
      </c>
      <c r="E62" s="353">
        <v>13</v>
      </c>
      <c r="F62" s="300"/>
      <c r="G62" s="300"/>
      <c r="H62" s="300"/>
    </row>
    <row r="63" spans="2:8" ht="14">
      <c r="B63" s="653" t="s">
        <v>242</v>
      </c>
      <c r="C63" s="654"/>
      <c r="D63" s="654"/>
      <c r="E63" s="655"/>
      <c r="F63" s="300"/>
      <c r="G63" s="300"/>
      <c r="H63" s="300"/>
    </row>
    <row r="64" spans="2:8" ht="14">
      <c r="B64" s="346" t="s">
        <v>92</v>
      </c>
      <c r="C64" s="347">
        <v>100</v>
      </c>
      <c r="D64" s="347">
        <v>100</v>
      </c>
      <c r="E64" s="348">
        <v>100</v>
      </c>
      <c r="F64" s="300"/>
    </row>
    <row r="65" spans="2:8" ht="14">
      <c r="B65" s="349" t="s">
        <v>243</v>
      </c>
      <c r="C65" s="350">
        <v>65.8</v>
      </c>
      <c r="D65" s="350">
        <v>43.1</v>
      </c>
      <c r="E65" s="351">
        <v>94.2</v>
      </c>
      <c r="F65" s="300"/>
    </row>
    <row r="66" spans="2:8" ht="14">
      <c r="B66" s="349" t="s">
        <v>244</v>
      </c>
      <c r="C66" s="350">
        <v>1.4</v>
      </c>
      <c r="D66" s="350">
        <v>1.8</v>
      </c>
      <c r="E66" s="351">
        <v>0.9</v>
      </c>
      <c r="F66" s="300"/>
    </row>
    <row r="67" spans="2:8" ht="14">
      <c r="B67" s="349" t="s">
        <v>245</v>
      </c>
      <c r="C67" s="350">
        <v>31.1</v>
      </c>
      <c r="D67" s="350">
        <v>53.9</v>
      </c>
      <c r="E67" s="351">
        <v>2.6</v>
      </c>
      <c r="F67" s="300"/>
    </row>
    <row r="68" spans="2:8" ht="14">
      <c r="B68" s="349" t="s">
        <v>246</v>
      </c>
      <c r="C68" s="350">
        <v>1.4</v>
      </c>
      <c r="D68" s="350">
        <v>1.1000000000000001</v>
      </c>
      <c r="E68" s="351">
        <v>1.7</v>
      </c>
      <c r="F68" s="300"/>
      <c r="G68" s="300"/>
      <c r="H68" s="300"/>
    </row>
    <row r="69" spans="2:8" ht="14">
      <c r="B69" s="349" t="s">
        <v>247</v>
      </c>
      <c r="C69" s="350">
        <v>0.3</v>
      </c>
      <c r="D69" s="350">
        <v>0.1</v>
      </c>
      <c r="E69" s="351">
        <v>0.6</v>
      </c>
      <c r="F69" s="300"/>
      <c r="G69" s="300"/>
      <c r="H69" s="300"/>
    </row>
    <row r="70" spans="2:8" ht="14">
      <c r="B70" s="653" t="s">
        <v>248</v>
      </c>
      <c r="C70" s="654"/>
      <c r="D70" s="654"/>
      <c r="E70" s="655"/>
      <c r="F70" s="300"/>
      <c r="G70" s="300"/>
      <c r="H70" s="300"/>
    </row>
    <row r="71" spans="2:8" ht="14">
      <c r="B71" s="346" t="s">
        <v>92</v>
      </c>
      <c r="C71" s="347">
        <v>100</v>
      </c>
      <c r="D71" s="347">
        <v>100</v>
      </c>
      <c r="E71" s="348">
        <v>100</v>
      </c>
      <c r="F71" s="300"/>
      <c r="G71" s="300"/>
      <c r="H71" s="300"/>
    </row>
    <row r="72" spans="2:8" ht="14">
      <c r="B72" s="349" t="s">
        <v>249</v>
      </c>
      <c r="C72" s="352">
        <v>93.9</v>
      </c>
      <c r="D72" s="352">
        <v>94.2</v>
      </c>
      <c r="E72" s="353">
        <v>93.4</v>
      </c>
      <c r="F72" s="300"/>
      <c r="G72" s="300"/>
      <c r="H72" s="300"/>
    </row>
    <row r="73" spans="2:8" ht="14">
      <c r="B73" s="349" t="s">
        <v>250</v>
      </c>
      <c r="C73" s="352">
        <v>3.7</v>
      </c>
      <c r="D73" s="352">
        <v>2.8</v>
      </c>
      <c r="E73" s="353">
        <v>4.9000000000000004</v>
      </c>
      <c r="F73" s="300"/>
      <c r="G73" s="300"/>
      <c r="H73" s="300"/>
    </row>
    <row r="74" spans="2:8" ht="14">
      <c r="B74" s="349" t="s">
        <v>251</v>
      </c>
      <c r="C74" s="352">
        <v>0.6</v>
      </c>
      <c r="D74" s="352">
        <v>0.7</v>
      </c>
      <c r="E74" s="353">
        <v>0.6</v>
      </c>
      <c r="F74" s="300"/>
      <c r="G74" s="300"/>
      <c r="H74" s="300"/>
    </row>
    <row r="75" spans="2:8" ht="14">
      <c r="B75" s="349" t="s">
        <v>252</v>
      </c>
      <c r="C75" s="352">
        <v>0.8</v>
      </c>
      <c r="D75" s="352">
        <v>1.4</v>
      </c>
      <c r="E75" s="353">
        <v>0</v>
      </c>
      <c r="F75" s="300"/>
      <c r="G75" s="300"/>
      <c r="H75" s="300"/>
    </row>
    <row r="76" spans="2:8" ht="14.5" thickBot="1">
      <c r="B76" s="354" t="s">
        <v>253</v>
      </c>
      <c r="C76" s="355">
        <v>1</v>
      </c>
      <c r="D76" s="355">
        <v>0.8</v>
      </c>
      <c r="E76" s="356">
        <v>1.1000000000000001</v>
      </c>
      <c r="G76" s="300"/>
      <c r="H76" s="300"/>
    </row>
    <row r="87" spans="2:3">
      <c r="B87" t="s">
        <v>260</v>
      </c>
    </row>
    <row r="88" spans="2:3">
      <c r="B88" s="106" t="s">
        <v>261</v>
      </c>
    </row>
    <row r="91" spans="2:3">
      <c r="B91" s="336">
        <v>0.14099999999999999</v>
      </c>
      <c r="C91" s="106" t="s">
        <v>262</v>
      </c>
    </row>
    <row r="92" spans="2:3">
      <c r="B92" s="333">
        <v>0.01</v>
      </c>
      <c r="C92" s="106" t="s">
        <v>263</v>
      </c>
    </row>
    <row r="93" spans="2:3">
      <c r="B93" s="336">
        <v>6.0999999999999999E-2</v>
      </c>
      <c r="C93" s="106" t="s">
        <v>264</v>
      </c>
    </row>
    <row r="94" spans="2:3">
      <c r="B94" s="336">
        <v>0.14799999999999999</v>
      </c>
      <c r="C94" s="106" t="s">
        <v>265</v>
      </c>
    </row>
    <row r="95" spans="2:3">
      <c r="B95" s="336">
        <v>4.0000000000000001E-3</v>
      </c>
      <c r="C95" s="106" t="s">
        <v>266</v>
      </c>
    </row>
    <row r="96" spans="2:3">
      <c r="B96" s="336">
        <v>0.63600000000000001</v>
      </c>
      <c r="C96" s="106" t="s">
        <v>267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52" t="s">
        <v>278</v>
      </c>
      <c r="C129" s="652"/>
      <c r="D129" s="652"/>
      <c r="E129" s="652"/>
      <c r="F129" s="652"/>
      <c r="G129" s="652"/>
      <c r="H129" s="652"/>
      <c r="I129" s="652"/>
      <c r="J129" s="652"/>
      <c r="K129" s="652"/>
    </row>
    <row r="130" spans="1:11" ht="15.5">
      <c r="B130" s="661" t="s">
        <v>279</v>
      </c>
      <c r="C130" s="661"/>
      <c r="D130" s="661"/>
      <c r="E130" s="661"/>
      <c r="F130" s="661"/>
      <c r="G130" s="661"/>
      <c r="H130" s="661"/>
      <c r="I130" s="661"/>
      <c r="J130" s="661"/>
      <c r="K130" s="661"/>
    </row>
    <row r="131" spans="1:11" ht="16" thickBot="1">
      <c r="B131" s="365"/>
      <c r="C131" s="366"/>
      <c r="D131" s="366"/>
      <c r="E131" s="366"/>
      <c r="F131" s="366"/>
      <c r="G131" s="366"/>
      <c r="H131" s="366"/>
      <c r="I131" s="366"/>
      <c r="J131" s="366"/>
      <c r="K131" s="366"/>
    </row>
    <row r="132" spans="1:11" ht="15.5">
      <c r="B132" s="662" t="s">
        <v>280</v>
      </c>
      <c r="C132" s="664" t="s">
        <v>92</v>
      </c>
      <c r="D132" s="666" t="s">
        <v>281</v>
      </c>
      <c r="E132" s="666"/>
      <c r="F132" s="664" t="s">
        <v>282</v>
      </c>
      <c r="G132" s="666" t="s">
        <v>281</v>
      </c>
      <c r="H132" s="666"/>
      <c r="I132" s="664" t="s">
        <v>283</v>
      </c>
      <c r="J132" s="666" t="s">
        <v>281</v>
      </c>
      <c r="K132" s="667"/>
    </row>
    <row r="133" spans="1:11" ht="15.5" thickBot="1">
      <c r="B133" s="663"/>
      <c r="C133" s="665"/>
      <c r="D133" s="367" t="s">
        <v>284</v>
      </c>
      <c r="E133" s="367" t="s">
        <v>285</v>
      </c>
      <c r="F133" s="665"/>
      <c r="G133" s="367" t="s">
        <v>284</v>
      </c>
      <c r="H133" s="367" t="s">
        <v>285</v>
      </c>
      <c r="I133" s="665"/>
      <c r="J133" s="367" t="s">
        <v>284</v>
      </c>
      <c r="K133" s="368" t="s">
        <v>285</v>
      </c>
    </row>
    <row r="134" spans="1:11" ht="15">
      <c r="B134" s="369" t="s">
        <v>286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956</v>
      </c>
      <c r="B136" s="372" t="s">
        <v>287</v>
      </c>
      <c r="C136" s="374">
        <v>2277.5</v>
      </c>
      <c r="D136" s="374">
        <v>1132.7</v>
      </c>
      <c r="E136" s="374">
        <v>1144.8</v>
      </c>
      <c r="F136" s="374">
        <v>2277.5</v>
      </c>
      <c r="G136" s="374">
        <v>1132.7</v>
      </c>
      <c r="H136" s="374">
        <v>1144.8</v>
      </c>
      <c r="I136" s="376" t="s">
        <v>187</v>
      </c>
      <c r="J136" s="376" t="s">
        <v>187</v>
      </c>
      <c r="K136" s="377" t="s">
        <v>187</v>
      </c>
    </row>
    <row r="137" spans="1:11" ht="15.5">
      <c r="B137" s="378" t="s">
        <v>281</v>
      </c>
      <c r="C137" s="373"/>
      <c r="D137" s="373"/>
      <c r="E137" s="373"/>
      <c r="F137" s="373"/>
      <c r="G137" s="373"/>
      <c r="H137" s="373"/>
      <c r="I137" s="373"/>
      <c r="J137" s="373"/>
      <c r="K137" s="379"/>
    </row>
    <row r="138" spans="1:11" ht="15">
      <c r="B138" s="372" t="s">
        <v>288</v>
      </c>
      <c r="C138" s="374">
        <v>265.8</v>
      </c>
      <c r="D138" s="374">
        <v>133.69999999999999</v>
      </c>
      <c r="E138" s="374">
        <v>132.10000000000002</v>
      </c>
      <c r="F138" s="374">
        <v>265.8</v>
      </c>
      <c r="G138" s="374">
        <v>133.69999999999999</v>
      </c>
      <c r="H138" s="374">
        <v>132.10000000000002</v>
      </c>
      <c r="I138" s="376" t="s">
        <v>187</v>
      </c>
      <c r="J138" s="376" t="s">
        <v>187</v>
      </c>
      <c r="K138" s="377" t="s">
        <v>187</v>
      </c>
    </row>
    <row r="139" spans="1:11" ht="15.5">
      <c r="B139" s="380" t="s">
        <v>289</v>
      </c>
      <c r="C139" s="373">
        <v>3.6</v>
      </c>
      <c r="D139" s="373">
        <v>1.9</v>
      </c>
      <c r="E139" s="373">
        <v>1.7000000000000002</v>
      </c>
      <c r="F139" s="373">
        <v>3.6</v>
      </c>
      <c r="G139" s="373">
        <v>1.9</v>
      </c>
      <c r="H139" s="373">
        <v>1.7000000000000002</v>
      </c>
      <c r="I139" s="376" t="s">
        <v>187</v>
      </c>
      <c r="J139" s="376" t="s">
        <v>187</v>
      </c>
      <c r="K139" s="377" t="s">
        <v>187</v>
      </c>
    </row>
    <row r="140" spans="1:11" ht="15.5">
      <c r="B140" s="380" t="s">
        <v>290</v>
      </c>
      <c r="C140" s="373">
        <v>18.399999999999999</v>
      </c>
      <c r="D140" s="373">
        <v>9.5</v>
      </c>
      <c r="E140" s="373">
        <v>8.8999999999999986</v>
      </c>
      <c r="F140" s="373">
        <v>18.399999999999999</v>
      </c>
      <c r="G140" s="373">
        <v>9.5</v>
      </c>
      <c r="H140" s="373">
        <v>8.8999999999999986</v>
      </c>
      <c r="I140" s="376" t="s">
        <v>187</v>
      </c>
      <c r="J140" s="376" t="s">
        <v>187</v>
      </c>
      <c r="K140" s="377" t="s">
        <v>187</v>
      </c>
    </row>
    <row r="141" spans="1:11" ht="15.5">
      <c r="B141" s="380" t="s">
        <v>291</v>
      </c>
      <c r="C141" s="373">
        <v>50.6</v>
      </c>
      <c r="D141" s="373">
        <v>25.3</v>
      </c>
      <c r="E141" s="373">
        <v>25.3</v>
      </c>
      <c r="F141" s="373">
        <v>50.6</v>
      </c>
      <c r="G141" s="373">
        <v>25.3</v>
      </c>
      <c r="H141" s="373">
        <v>25.3</v>
      </c>
      <c r="I141" s="376" t="s">
        <v>187</v>
      </c>
      <c r="J141" s="376" t="s">
        <v>187</v>
      </c>
      <c r="K141" s="377" t="s">
        <v>187</v>
      </c>
    </row>
    <row r="142" spans="1:11" ht="15.5">
      <c r="B142" s="380" t="s">
        <v>292</v>
      </c>
      <c r="C142" s="373">
        <v>39</v>
      </c>
      <c r="D142" s="373">
        <v>19.5</v>
      </c>
      <c r="E142" s="373">
        <v>19.5</v>
      </c>
      <c r="F142" s="373">
        <v>39</v>
      </c>
      <c r="G142" s="373">
        <v>19.5</v>
      </c>
      <c r="H142" s="373">
        <v>19.5</v>
      </c>
      <c r="I142" s="376" t="s">
        <v>187</v>
      </c>
      <c r="J142" s="376" t="s">
        <v>187</v>
      </c>
      <c r="K142" s="377" t="s">
        <v>187</v>
      </c>
    </row>
    <row r="143" spans="1:11" ht="15.5">
      <c r="B143" s="380" t="s">
        <v>293</v>
      </c>
      <c r="C143" s="373">
        <v>7</v>
      </c>
      <c r="D143" s="373">
        <v>3.7</v>
      </c>
      <c r="E143" s="373">
        <v>3.3</v>
      </c>
      <c r="F143" s="373">
        <v>7</v>
      </c>
      <c r="G143" s="373">
        <v>3.7</v>
      </c>
      <c r="H143" s="373">
        <v>3.3</v>
      </c>
      <c r="I143" s="376" t="s">
        <v>187</v>
      </c>
      <c r="J143" s="376" t="s">
        <v>187</v>
      </c>
      <c r="K143" s="377" t="s">
        <v>187</v>
      </c>
    </row>
    <row r="144" spans="1:11" ht="15.5">
      <c r="B144" s="380" t="s">
        <v>294</v>
      </c>
      <c r="C144" s="373">
        <v>54.4</v>
      </c>
      <c r="D144" s="373">
        <v>27.2</v>
      </c>
      <c r="E144" s="373">
        <v>27.2</v>
      </c>
      <c r="F144" s="373">
        <v>54.4</v>
      </c>
      <c r="G144" s="373">
        <v>27.2</v>
      </c>
      <c r="H144" s="373">
        <v>27.2</v>
      </c>
      <c r="I144" s="376" t="s">
        <v>187</v>
      </c>
      <c r="J144" s="376" t="s">
        <v>187</v>
      </c>
      <c r="K144" s="377" t="s">
        <v>187</v>
      </c>
    </row>
    <row r="145" spans="2:11" ht="15">
      <c r="B145" s="372" t="s">
        <v>295</v>
      </c>
      <c r="C145" s="374">
        <v>125.5</v>
      </c>
      <c r="D145" s="374">
        <v>63.9</v>
      </c>
      <c r="E145" s="374">
        <v>61.6</v>
      </c>
      <c r="F145" s="374">
        <v>125.5</v>
      </c>
      <c r="G145" s="374">
        <v>63.9</v>
      </c>
      <c r="H145" s="374">
        <v>61.6</v>
      </c>
      <c r="I145" s="376" t="s">
        <v>187</v>
      </c>
      <c r="J145" s="376" t="s">
        <v>187</v>
      </c>
      <c r="K145" s="377" t="s">
        <v>187</v>
      </c>
    </row>
    <row r="146" spans="2:11" ht="15.5">
      <c r="B146" s="380" t="s">
        <v>296</v>
      </c>
      <c r="C146" s="373">
        <v>12.6</v>
      </c>
      <c r="D146" s="373">
        <v>6.5</v>
      </c>
      <c r="E146" s="373">
        <v>6.1</v>
      </c>
      <c r="F146" s="373">
        <v>12.6</v>
      </c>
      <c r="G146" s="373">
        <v>6.5</v>
      </c>
      <c r="H146" s="373">
        <v>6.1</v>
      </c>
      <c r="I146" s="376" t="s">
        <v>187</v>
      </c>
      <c r="J146" s="376" t="s">
        <v>187</v>
      </c>
      <c r="K146" s="377" t="s">
        <v>187</v>
      </c>
    </row>
    <row r="147" spans="2:11" ht="15.5">
      <c r="B147" s="380" t="s">
        <v>297</v>
      </c>
      <c r="C147" s="373">
        <v>1.5</v>
      </c>
      <c r="D147" s="373">
        <v>0.7</v>
      </c>
      <c r="E147" s="373">
        <v>0.8</v>
      </c>
      <c r="F147" s="373">
        <v>1.5</v>
      </c>
      <c r="G147" s="373">
        <v>0.7</v>
      </c>
      <c r="H147" s="373">
        <v>0.8</v>
      </c>
      <c r="I147" s="376" t="s">
        <v>187</v>
      </c>
      <c r="J147" s="376" t="s">
        <v>187</v>
      </c>
      <c r="K147" s="377" t="s">
        <v>187</v>
      </c>
    </row>
    <row r="148" spans="2:11" ht="15.5">
      <c r="B148" s="380" t="s">
        <v>298</v>
      </c>
      <c r="C148" s="373">
        <v>0.4</v>
      </c>
      <c r="D148" s="373">
        <v>0.2</v>
      </c>
      <c r="E148" s="373">
        <v>0.2</v>
      </c>
      <c r="F148" s="373">
        <v>0.4</v>
      </c>
      <c r="G148" s="373">
        <v>0.2</v>
      </c>
      <c r="H148" s="373">
        <v>0.2</v>
      </c>
      <c r="I148" s="376" t="s">
        <v>187</v>
      </c>
      <c r="J148" s="376" t="s">
        <v>187</v>
      </c>
      <c r="K148" s="377" t="s">
        <v>187</v>
      </c>
    </row>
    <row r="149" spans="2:11" ht="15.5">
      <c r="B149" s="380" t="s">
        <v>299</v>
      </c>
      <c r="C149" s="373">
        <v>0.9</v>
      </c>
      <c r="D149" s="373">
        <v>0.4</v>
      </c>
      <c r="E149" s="373">
        <v>0.5</v>
      </c>
      <c r="F149" s="373">
        <v>0.9</v>
      </c>
      <c r="G149" s="373">
        <v>0.4</v>
      </c>
      <c r="H149" s="373">
        <v>0.5</v>
      </c>
      <c r="I149" s="376" t="s">
        <v>187</v>
      </c>
      <c r="J149" s="376" t="s">
        <v>187</v>
      </c>
      <c r="K149" s="377" t="s">
        <v>187</v>
      </c>
    </row>
    <row r="150" spans="2:11" ht="15.5">
      <c r="B150" s="380" t="s">
        <v>300</v>
      </c>
      <c r="C150" s="373" t="s">
        <v>187</v>
      </c>
      <c r="D150" s="373" t="s">
        <v>187</v>
      </c>
      <c r="E150" s="373" t="s">
        <v>187</v>
      </c>
      <c r="F150" s="373" t="s">
        <v>187</v>
      </c>
      <c r="G150" s="373" t="s">
        <v>187</v>
      </c>
      <c r="H150" s="373" t="s">
        <v>187</v>
      </c>
      <c r="I150" s="376" t="s">
        <v>187</v>
      </c>
      <c r="J150" s="376" t="s">
        <v>187</v>
      </c>
      <c r="K150" s="377" t="s">
        <v>187</v>
      </c>
    </row>
    <row r="151" spans="2:11" ht="15.5">
      <c r="B151" s="380" t="s">
        <v>301</v>
      </c>
      <c r="C151" s="373" t="s">
        <v>187</v>
      </c>
      <c r="D151" s="373" t="s">
        <v>187</v>
      </c>
      <c r="E151" s="373" t="s">
        <v>187</v>
      </c>
      <c r="F151" s="373" t="s">
        <v>187</v>
      </c>
      <c r="G151" s="373" t="s">
        <v>187</v>
      </c>
      <c r="H151" s="373" t="s">
        <v>187</v>
      </c>
      <c r="I151" s="376" t="s">
        <v>187</v>
      </c>
      <c r="J151" s="376" t="s">
        <v>187</v>
      </c>
      <c r="K151" s="377" t="s">
        <v>187</v>
      </c>
    </row>
    <row r="152" spans="2:11" ht="15.5">
      <c r="B152" s="380" t="s">
        <v>302</v>
      </c>
      <c r="C152" s="373" t="s">
        <v>187</v>
      </c>
      <c r="D152" s="373" t="s">
        <v>187</v>
      </c>
      <c r="E152" s="373" t="s">
        <v>187</v>
      </c>
      <c r="F152" s="373" t="s">
        <v>187</v>
      </c>
      <c r="G152" s="373" t="s">
        <v>187</v>
      </c>
      <c r="H152" s="373" t="s">
        <v>187</v>
      </c>
      <c r="I152" s="376" t="s">
        <v>187</v>
      </c>
      <c r="J152" s="376" t="s">
        <v>187</v>
      </c>
      <c r="K152" s="377" t="s">
        <v>187</v>
      </c>
    </row>
    <row r="153" spans="2:11" ht="15.5">
      <c r="B153" s="380" t="s">
        <v>303</v>
      </c>
      <c r="C153" s="373">
        <v>5</v>
      </c>
      <c r="D153" s="373">
        <v>2.6</v>
      </c>
      <c r="E153" s="373">
        <v>2.4</v>
      </c>
      <c r="F153" s="373">
        <v>5</v>
      </c>
      <c r="G153" s="373">
        <v>2.6</v>
      </c>
      <c r="H153" s="373">
        <v>2.4</v>
      </c>
      <c r="I153" s="376" t="s">
        <v>187</v>
      </c>
      <c r="J153" s="376" t="s">
        <v>187</v>
      </c>
      <c r="K153" s="377" t="s">
        <v>187</v>
      </c>
    </row>
    <row r="154" spans="2:11" ht="15.5">
      <c r="B154" s="380" t="s">
        <v>304</v>
      </c>
      <c r="C154" s="373">
        <v>0.9</v>
      </c>
      <c r="D154" s="373">
        <v>0.5</v>
      </c>
      <c r="E154" s="373">
        <v>0.4</v>
      </c>
      <c r="F154" s="373">
        <v>0.9</v>
      </c>
      <c r="G154" s="373">
        <v>0.5</v>
      </c>
      <c r="H154" s="373">
        <v>0.4</v>
      </c>
      <c r="I154" s="376" t="s">
        <v>187</v>
      </c>
      <c r="J154" s="376" t="s">
        <v>187</v>
      </c>
      <c r="K154" s="377" t="s">
        <v>187</v>
      </c>
    </row>
    <row r="155" spans="2:11" ht="15.5">
      <c r="B155" s="380" t="s">
        <v>305</v>
      </c>
      <c r="C155" s="373">
        <v>26</v>
      </c>
      <c r="D155" s="373">
        <v>13</v>
      </c>
      <c r="E155" s="373">
        <v>13</v>
      </c>
      <c r="F155" s="373">
        <v>26</v>
      </c>
      <c r="G155" s="373">
        <v>13</v>
      </c>
      <c r="H155" s="373">
        <v>13</v>
      </c>
      <c r="I155" s="376" t="s">
        <v>187</v>
      </c>
      <c r="J155" s="376" t="s">
        <v>187</v>
      </c>
      <c r="K155" s="377" t="s">
        <v>187</v>
      </c>
    </row>
    <row r="156" spans="2:11" ht="15.5">
      <c r="B156" s="380" t="s">
        <v>306</v>
      </c>
      <c r="C156" s="373">
        <v>0.1</v>
      </c>
      <c r="D156" s="373">
        <v>0.1</v>
      </c>
      <c r="E156" s="373">
        <v>0</v>
      </c>
      <c r="F156" s="373">
        <v>0.1</v>
      </c>
      <c r="G156" s="373">
        <v>0.1</v>
      </c>
      <c r="H156" s="373">
        <v>0</v>
      </c>
      <c r="I156" s="376" t="s">
        <v>187</v>
      </c>
      <c r="J156" s="376" t="s">
        <v>187</v>
      </c>
      <c r="K156" s="377" t="s">
        <v>187</v>
      </c>
    </row>
    <row r="157" spans="2:11" ht="15.5">
      <c r="B157" s="380" t="s">
        <v>307</v>
      </c>
      <c r="C157" s="373">
        <v>39.4</v>
      </c>
      <c r="D157" s="373">
        <v>20.2</v>
      </c>
      <c r="E157" s="373">
        <v>19.2</v>
      </c>
      <c r="F157" s="373">
        <v>39.4</v>
      </c>
      <c r="G157" s="373">
        <v>20.2</v>
      </c>
      <c r="H157" s="373">
        <v>19.2</v>
      </c>
      <c r="I157" s="376" t="s">
        <v>187</v>
      </c>
      <c r="J157" s="376" t="s">
        <v>187</v>
      </c>
      <c r="K157" s="377" t="s">
        <v>187</v>
      </c>
    </row>
    <row r="158" spans="2:11" ht="15.5">
      <c r="B158" s="380" t="s">
        <v>308</v>
      </c>
      <c r="C158" s="373">
        <v>0.1</v>
      </c>
      <c r="D158" s="373">
        <v>0.1</v>
      </c>
      <c r="E158" s="373">
        <v>0</v>
      </c>
      <c r="F158" s="373">
        <v>0.1</v>
      </c>
      <c r="G158" s="373">
        <v>0.1</v>
      </c>
      <c r="H158" s="373">
        <v>0</v>
      </c>
      <c r="I158" s="376" t="s">
        <v>187</v>
      </c>
      <c r="J158" s="376" t="s">
        <v>187</v>
      </c>
      <c r="K158" s="377" t="s">
        <v>187</v>
      </c>
    </row>
    <row r="159" spans="2:11" ht="15.5">
      <c r="B159" s="380" t="s">
        <v>309</v>
      </c>
      <c r="C159" s="373" t="s">
        <v>187</v>
      </c>
      <c r="D159" s="373" t="s">
        <v>187</v>
      </c>
      <c r="E159" s="373" t="s">
        <v>187</v>
      </c>
      <c r="F159" s="373" t="s">
        <v>187</v>
      </c>
      <c r="G159" s="373" t="s">
        <v>187</v>
      </c>
      <c r="H159" s="373" t="s">
        <v>187</v>
      </c>
      <c r="I159" s="376" t="s">
        <v>187</v>
      </c>
      <c r="J159" s="376" t="s">
        <v>187</v>
      </c>
      <c r="K159" s="377" t="s">
        <v>187</v>
      </c>
    </row>
    <row r="160" spans="2:11" ht="15.5">
      <c r="B160" s="380" t="s">
        <v>310</v>
      </c>
      <c r="C160" s="373">
        <v>1.3</v>
      </c>
      <c r="D160" s="373">
        <v>0.6</v>
      </c>
      <c r="E160" s="373">
        <v>0.70000000000000007</v>
      </c>
      <c r="F160" s="373">
        <v>1.3</v>
      </c>
      <c r="G160" s="373">
        <v>0.6</v>
      </c>
      <c r="H160" s="373">
        <v>0.70000000000000007</v>
      </c>
      <c r="I160" s="376" t="s">
        <v>187</v>
      </c>
      <c r="J160" s="376" t="s">
        <v>187</v>
      </c>
      <c r="K160" s="377" t="s">
        <v>187</v>
      </c>
    </row>
    <row r="161" spans="2:11" ht="15.5">
      <c r="B161" s="380" t="s">
        <v>311</v>
      </c>
      <c r="C161" s="373">
        <v>2.5</v>
      </c>
      <c r="D161" s="373">
        <v>1.2</v>
      </c>
      <c r="E161" s="373">
        <v>1.3</v>
      </c>
      <c r="F161" s="373">
        <v>2.5</v>
      </c>
      <c r="G161" s="373">
        <v>1.2</v>
      </c>
      <c r="H161" s="373">
        <v>1.3</v>
      </c>
      <c r="I161" s="376" t="s">
        <v>187</v>
      </c>
      <c r="J161" s="376" t="s">
        <v>187</v>
      </c>
      <c r="K161" s="377" t="s">
        <v>187</v>
      </c>
    </row>
    <row r="162" spans="2:11" ht="15.5">
      <c r="B162" s="380" t="s">
        <v>312</v>
      </c>
      <c r="C162" s="373">
        <v>17.7</v>
      </c>
      <c r="D162" s="373">
        <v>9.1</v>
      </c>
      <c r="E162" s="373">
        <v>8.6</v>
      </c>
      <c r="F162" s="373">
        <v>17.7</v>
      </c>
      <c r="G162" s="373">
        <v>9.1</v>
      </c>
      <c r="H162" s="373">
        <v>8.6</v>
      </c>
      <c r="I162" s="376" t="s">
        <v>187</v>
      </c>
      <c r="J162" s="376" t="s">
        <v>187</v>
      </c>
      <c r="K162" s="377" t="s">
        <v>187</v>
      </c>
    </row>
    <row r="163" spans="2:11" ht="15.5">
      <c r="B163" s="380" t="s">
        <v>313</v>
      </c>
      <c r="C163" s="373">
        <v>10</v>
      </c>
      <c r="D163" s="373">
        <v>5.0999999999999996</v>
      </c>
      <c r="E163" s="373">
        <v>4.9000000000000004</v>
      </c>
      <c r="F163" s="373">
        <v>10</v>
      </c>
      <c r="G163" s="373">
        <v>5.0999999999999996</v>
      </c>
      <c r="H163" s="373">
        <v>4.9000000000000004</v>
      </c>
      <c r="I163" s="376" t="s">
        <v>187</v>
      </c>
      <c r="J163" s="376" t="s">
        <v>187</v>
      </c>
      <c r="K163" s="377" t="s">
        <v>187</v>
      </c>
    </row>
    <row r="164" spans="2:11" ht="15.5">
      <c r="B164" s="380" t="s">
        <v>314</v>
      </c>
      <c r="C164" s="373">
        <v>1.5</v>
      </c>
      <c r="D164" s="373">
        <v>0.8</v>
      </c>
      <c r="E164" s="373">
        <v>0.7</v>
      </c>
      <c r="F164" s="373">
        <v>1.5</v>
      </c>
      <c r="G164" s="373">
        <v>0.8</v>
      </c>
      <c r="H164" s="373">
        <v>0.7</v>
      </c>
      <c r="I164" s="376" t="s">
        <v>187</v>
      </c>
      <c r="J164" s="376" t="s">
        <v>187</v>
      </c>
      <c r="K164" s="377" t="s">
        <v>187</v>
      </c>
    </row>
    <row r="165" spans="2:11" ht="15.5">
      <c r="B165" s="380" t="s">
        <v>315</v>
      </c>
      <c r="C165" s="373">
        <v>4.8</v>
      </c>
      <c r="D165" s="373">
        <v>2.4</v>
      </c>
      <c r="E165" s="373">
        <v>2.4</v>
      </c>
      <c r="F165" s="373">
        <v>4.8</v>
      </c>
      <c r="G165" s="373">
        <v>2.4</v>
      </c>
      <c r="H165" s="373">
        <v>2.4</v>
      </c>
      <c r="I165" s="376" t="s">
        <v>187</v>
      </c>
      <c r="J165" s="376" t="s">
        <v>187</v>
      </c>
      <c r="K165" s="377" t="s">
        <v>187</v>
      </c>
    </row>
    <row r="166" spans="2:11" ht="15.5">
      <c r="B166" s="380" t="s">
        <v>316</v>
      </c>
      <c r="C166" s="373">
        <v>0.8</v>
      </c>
      <c r="D166" s="373">
        <v>0.4</v>
      </c>
      <c r="E166" s="373">
        <v>0.4</v>
      </c>
      <c r="F166" s="373">
        <v>0.8</v>
      </c>
      <c r="G166" s="373">
        <v>0.4</v>
      </c>
      <c r="H166" s="373">
        <v>0.4</v>
      </c>
      <c r="I166" s="376" t="s">
        <v>187</v>
      </c>
      <c r="J166" s="376" t="s">
        <v>187</v>
      </c>
      <c r="K166" s="377" t="s">
        <v>187</v>
      </c>
    </row>
    <row r="167" spans="2:11" ht="15">
      <c r="B167" s="372" t="s">
        <v>317</v>
      </c>
      <c r="C167" s="374">
        <v>166.5</v>
      </c>
      <c r="D167" s="374">
        <v>84.9</v>
      </c>
      <c r="E167" s="374">
        <v>81.599999999999994</v>
      </c>
      <c r="F167" s="374">
        <v>166.5</v>
      </c>
      <c r="G167" s="374">
        <v>84.9</v>
      </c>
      <c r="H167" s="374">
        <v>81.599999999999994</v>
      </c>
      <c r="I167" s="376" t="s">
        <v>187</v>
      </c>
      <c r="J167" s="376" t="s">
        <v>187</v>
      </c>
      <c r="K167" s="377" t="s">
        <v>187</v>
      </c>
    </row>
    <row r="168" spans="2:11" ht="15.5">
      <c r="B168" s="380" t="s">
        <v>318</v>
      </c>
      <c r="C168" s="373">
        <v>57</v>
      </c>
      <c r="D168" s="373">
        <v>28.8</v>
      </c>
      <c r="E168" s="373">
        <v>28.2</v>
      </c>
      <c r="F168" s="373">
        <v>57</v>
      </c>
      <c r="G168" s="373">
        <v>28.8</v>
      </c>
      <c r="H168" s="373">
        <v>28.2</v>
      </c>
      <c r="I168" s="376" t="s">
        <v>187</v>
      </c>
      <c r="J168" s="376" t="s">
        <v>187</v>
      </c>
      <c r="K168" s="377" t="s">
        <v>187</v>
      </c>
    </row>
    <row r="169" spans="2:11" ht="15.5">
      <c r="B169" s="380" t="s">
        <v>319</v>
      </c>
      <c r="C169" s="373">
        <v>31.5</v>
      </c>
      <c r="D169" s="373">
        <v>16</v>
      </c>
      <c r="E169" s="373">
        <v>15.5</v>
      </c>
      <c r="F169" s="373">
        <v>31.5</v>
      </c>
      <c r="G169" s="373">
        <v>16</v>
      </c>
      <c r="H169" s="373">
        <v>15.5</v>
      </c>
      <c r="I169" s="376" t="s">
        <v>187</v>
      </c>
      <c r="J169" s="376" t="s">
        <v>187</v>
      </c>
      <c r="K169" s="377" t="s">
        <v>187</v>
      </c>
    </row>
    <row r="170" spans="2:11" ht="15.5">
      <c r="B170" s="380" t="s">
        <v>320</v>
      </c>
      <c r="C170" s="373">
        <v>5</v>
      </c>
      <c r="D170" s="373">
        <v>2.6</v>
      </c>
      <c r="E170" s="373">
        <v>2.4</v>
      </c>
      <c r="F170" s="373">
        <v>5</v>
      </c>
      <c r="G170" s="373">
        <v>2.6</v>
      </c>
      <c r="H170" s="373">
        <v>2.4</v>
      </c>
      <c r="I170" s="376" t="s">
        <v>187</v>
      </c>
      <c r="J170" s="376" t="s">
        <v>187</v>
      </c>
      <c r="K170" s="377" t="s">
        <v>187</v>
      </c>
    </row>
    <row r="171" spans="2:11" ht="15.5">
      <c r="B171" s="380" t="s">
        <v>321</v>
      </c>
      <c r="C171" s="373">
        <v>25.1</v>
      </c>
      <c r="D171" s="373">
        <v>13.5</v>
      </c>
      <c r="E171" s="373">
        <v>11.600000000000001</v>
      </c>
      <c r="F171" s="373">
        <v>25.1</v>
      </c>
      <c r="G171" s="373">
        <v>13.5</v>
      </c>
      <c r="H171" s="373">
        <v>11.600000000000001</v>
      </c>
      <c r="I171" s="376" t="s">
        <v>187</v>
      </c>
      <c r="J171" s="376" t="s">
        <v>187</v>
      </c>
      <c r="K171" s="377" t="s">
        <v>187</v>
      </c>
    </row>
    <row r="172" spans="2:11" ht="15.5">
      <c r="B172" s="380" t="s">
        <v>322</v>
      </c>
      <c r="C172" s="373">
        <v>3.6</v>
      </c>
      <c r="D172" s="373">
        <v>1.8</v>
      </c>
      <c r="E172" s="373">
        <v>1.8</v>
      </c>
      <c r="F172" s="373">
        <v>3.6</v>
      </c>
      <c r="G172" s="373">
        <v>1.8</v>
      </c>
      <c r="H172" s="373">
        <v>1.8</v>
      </c>
      <c r="I172" s="376" t="s">
        <v>187</v>
      </c>
      <c r="J172" s="376" t="s">
        <v>187</v>
      </c>
      <c r="K172" s="377" t="s">
        <v>187</v>
      </c>
    </row>
    <row r="173" spans="2:11" ht="15.5">
      <c r="B173" s="380" t="s">
        <v>323</v>
      </c>
      <c r="C173" s="373">
        <v>19.399999999999999</v>
      </c>
      <c r="D173" s="373">
        <v>9.6999999999999993</v>
      </c>
      <c r="E173" s="373">
        <v>9.6999999999999993</v>
      </c>
      <c r="F173" s="373">
        <v>19.399999999999999</v>
      </c>
      <c r="G173" s="373">
        <v>9.6999999999999993</v>
      </c>
      <c r="H173" s="373">
        <v>9.6999999999999993</v>
      </c>
      <c r="I173" s="376" t="s">
        <v>187</v>
      </c>
      <c r="J173" s="376" t="s">
        <v>187</v>
      </c>
      <c r="K173" s="377" t="s">
        <v>187</v>
      </c>
    </row>
    <row r="174" spans="2:11" ht="15.5">
      <c r="B174" s="380" t="s">
        <v>324</v>
      </c>
      <c r="C174" s="373">
        <v>12.5</v>
      </c>
      <c r="D174" s="373">
        <v>6.3</v>
      </c>
      <c r="E174" s="373">
        <v>6.2</v>
      </c>
      <c r="F174" s="373">
        <v>12.5</v>
      </c>
      <c r="G174" s="373">
        <v>6.3</v>
      </c>
      <c r="H174" s="373">
        <v>6.2</v>
      </c>
      <c r="I174" s="376" t="s">
        <v>187</v>
      </c>
      <c r="J174" s="376" t="s">
        <v>187</v>
      </c>
      <c r="K174" s="377" t="s">
        <v>187</v>
      </c>
    </row>
    <row r="175" spans="2:11" ht="15.5">
      <c r="B175" s="380" t="s">
        <v>325</v>
      </c>
      <c r="C175" s="373">
        <v>12.4</v>
      </c>
      <c r="D175" s="373">
        <v>6.2</v>
      </c>
      <c r="E175" s="373">
        <v>6.2</v>
      </c>
      <c r="F175" s="373">
        <v>12.4</v>
      </c>
      <c r="G175" s="373">
        <v>6.2</v>
      </c>
      <c r="H175" s="373">
        <v>6.2</v>
      </c>
      <c r="I175" s="376" t="s">
        <v>187</v>
      </c>
      <c r="J175" s="376" t="s">
        <v>187</v>
      </c>
      <c r="K175" s="377" t="s">
        <v>187</v>
      </c>
    </row>
    <row r="176" spans="2:11" ht="15">
      <c r="B176" s="372" t="s">
        <v>326</v>
      </c>
      <c r="C176" s="374">
        <v>101.8</v>
      </c>
      <c r="D176" s="374">
        <v>48.9</v>
      </c>
      <c r="E176" s="374">
        <v>52.9</v>
      </c>
      <c r="F176" s="374">
        <v>101.8</v>
      </c>
      <c r="G176" s="374">
        <v>48.9</v>
      </c>
      <c r="H176" s="374">
        <v>52.9</v>
      </c>
      <c r="I176" s="376" t="s">
        <v>187</v>
      </c>
      <c r="J176" s="376" t="s">
        <v>187</v>
      </c>
      <c r="K176" s="377" t="s">
        <v>187</v>
      </c>
    </row>
    <row r="177" spans="2:11" ht="15.5">
      <c r="B177" s="380" t="s">
        <v>327</v>
      </c>
      <c r="C177" s="373">
        <v>22.3</v>
      </c>
      <c r="D177" s="373">
        <v>11.2</v>
      </c>
      <c r="E177" s="373">
        <v>11.100000000000001</v>
      </c>
      <c r="F177" s="373">
        <v>22.3</v>
      </c>
      <c r="G177" s="373">
        <v>11.2</v>
      </c>
      <c r="H177" s="373">
        <v>11.100000000000001</v>
      </c>
      <c r="I177" s="376" t="s">
        <v>187</v>
      </c>
      <c r="J177" s="376" t="s">
        <v>187</v>
      </c>
      <c r="K177" s="377" t="s">
        <v>187</v>
      </c>
    </row>
    <row r="178" spans="2:11" ht="15.5">
      <c r="B178" s="380" t="s">
        <v>328</v>
      </c>
      <c r="C178" s="373">
        <v>2.1</v>
      </c>
      <c r="D178" s="373">
        <v>1</v>
      </c>
      <c r="E178" s="373">
        <v>1.1000000000000001</v>
      </c>
      <c r="F178" s="373">
        <v>2.1</v>
      </c>
      <c r="G178" s="373">
        <v>1</v>
      </c>
      <c r="H178" s="373">
        <v>1.1000000000000001</v>
      </c>
      <c r="I178" s="376" t="s">
        <v>187</v>
      </c>
      <c r="J178" s="376" t="s">
        <v>187</v>
      </c>
      <c r="K178" s="377" t="s">
        <v>187</v>
      </c>
    </row>
    <row r="179" spans="2:11" ht="15">
      <c r="B179" s="372" t="s">
        <v>329</v>
      </c>
      <c r="C179" s="381">
        <v>244.6</v>
      </c>
      <c r="D179" s="381">
        <v>122.4</v>
      </c>
      <c r="E179" s="381">
        <v>122.19999999999999</v>
      </c>
      <c r="F179" s="381">
        <v>244.6</v>
      </c>
      <c r="G179" s="381">
        <v>122.4</v>
      </c>
      <c r="H179" s="381">
        <v>122.19999999999999</v>
      </c>
      <c r="I179" s="376" t="s">
        <v>187</v>
      </c>
      <c r="J179" s="376" t="s">
        <v>187</v>
      </c>
      <c r="K179" s="377" t="s">
        <v>187</v>
      </c>
    </row>
    <row r="180" spans="2:11" ht="15.5">
      <c r="B180" s="380" t="s">
        <v>330</v>
      </c>
      <c r="C180" s="382">
        <v>76.599999999999994</v>
      </c>
      <c r="D180" s="383">
        <v>38.700000000000003</v>
      </c>
      <c r="E180" s="382">
        <v>37.899999999999991</v>
      </c>
      <c r="F180" s="382">
        <v>76.599999999999994</v>
      </c>
      <c r="G180" s="383">
        <v>38.700000000000003</v>
      </c>
      <c r="H180" s="382">
        <v>37.899999999999991</v>
      </c>
      <c r="I180" s="376" t="s">
        <v>187</v>
      </c>
      <c r="J180" s="376" t="s">
        <v>187</v>
      </c>
      <c r="K180" s="377" t="s">
        <v>187</v>
      </c>
    </row>
    <row r="181" spans="2:11" ht="15.5">
      <c r="B181" s="380" t="s">
        <v>331</v>
      </c>
      <c r="C181" s="382">
        <v>14.4</v>
      </c>
      <c r="D181" s="383">
        <v>7.1</v>
      </c>
      <c r="E181" s="382">
        <v>7.3000000000000007</v>
      </c>
      <c r="F181" s="382">
        <v>14.4</v>
      </c>
      <c r="G181" s="383">
        <v>7.1</v>
      </c>
      <c r="H181" s="382">
        <v>7.3000000000000007</v>
      </c>
      <c r="I181" s="376" t="s">
        <v>187</v>
      </c>
      <c r="J181" s="376" t="s">
        <v>187</v>
      </c>
      <c r="K181" s="377" t="s">
        <v>187</v>
      </c>
    </row>
    <row r="182" spans="2:11" ht="15.5">
      <c r="B182" s="380" t="s">
        <v>332</v>
      </c>
      <c r="C182" s="382">
        <v>8.6</v>
      </c>
      <c r="D182" s="383">
        <v>4.2</v>
      </c>
      <c r="E182" s="382">
        <v>4.3999999999999995</v>
      </c>
      <c r="F182" s="382">
        <v>8.6</v>
      </c>
      <c r="G182" s="383">
        <v>4.2</v>
      </c>
      <c r="H182" s="382">
        <v>4.3999999999999995</v>
      </c>
      <c r="I182" s="376" t="s">
        <v>187</v>
      </c>
      <c r="J182" s="376" t="s">
        <v>187</v>
      </c>
      <c r="K182" s="377" t="s">
        <v>187</v>
      </c>
    </row>
    <row r="183" spans="2:11" ht="15.5">
      <c r="B183" s="380" t="s">
        <v>333</v>
      </c>
      <c r="C183" s="382">
        <v>6.7</v>
      </c>
      <c r="D183" s="383">
        <v>3.3</v>
      </c>
      <c r="E183" s="382">
        <v>3.4000000000000004</v>
      </c>
      <c r="F183" s="382">
        <v>6.7</v>
      </c>
      <c r="G183" s="383">
        <v>3.3</v>
      </c>
      <c r="H183" s="382">
        <v>3.4000000000000004</v>
      </c>
      <c r="I183" s="376" t="s">
        <v>187</v>
      </c>
      <c r="J183" s="376" t="s">
        <v>187</v>
      </c>
      <c r="K183" s="377" t="s">
        <v>187</v>
      </c>
    </row>
    <row r="184" spans="2:11" ht="15.5">
      <c r="B184" s="380" t="s">
        <v>334</v>
      </c>
      <c r="C184" s="382">
        <v>46.2</v>
      </c>
      <c r="D184" s="383">
        <v>23.3</v>
      </c>
      <c r="E184" s="382">
        <v>22.900000000000002</v>
      </c>
      <c r="F184" s="382">
        <v>46.2</v>
      </c>
      <c r="G184" s="383">
        <v>23.3</v>
      </c>
      <c r="H184" s="382">
        <v>22.900000000000002</v>
      </c>
      <c r="I184" s="376" t="s">
        <v>187</v>
      </c>
      <c r="J184" s="376" t="s">
        <v>187</v>
      </c>
      <c r="K184" s="377" t="s">
        <v>187</v>
      </c>
    </row>
    <row r="185" spans="2:11" ht="15.5">
      <c r="B185" s="380" t="s">
        <v>335</v>
      </c>
      <c r="C185" s="382">
        <v>10.199999999999999</v>
      </c>
      <c r="D185" s="383">
        <v>5.2</v>
      </c>
      <c r="E185" s="382">
        <v>4.9999999999999991</v>
      </c>
      <c r="F185" s="382">
        <v>10.199999999999999</v>
      </c>
      <c r="G185" s="383">
        <v>5.2</v>
      </c>
      <c r="H185" s="382">
        <v>4.9999999999999991</v>
      </c>
      <c r="I185" s="376" t="s">
        <v>187</v>
      </c>
      <c r="J185" s="376" t="s">
        <v>187</v>
      </c>
      <c r="K185" s="377" t="s">
        <v>187</v>
      </c>
    </row>
    <row r="186" spans="2:11" ht="15.5">
      <c r="B186" s="380" t="s">
        <v>336</v>
      </c>
      <c r="C186" s="382">
        <v>7</v>
      </c>
      <c r="D186" s="383">
        <v>3.6</v>
      </c>
      <c r="E186" s="382">
        <v>3.4</v>
      </c>
      <c r="F186" s="382">
        <v>7</v>
      </c>
      <c r="G186" s="383">
        <v>3.6</v>
      </c>
      <c r="H186" s="382">
        <v>3.4</v>
      </c>
      <c r="I186" s="376" t="s">
        <v>187</v>
      </c>
      <c r="J186" s="376" t="s">
        <v>187</v>
      </c>
      <c r="K186" s="377" t="s">
        <v>187</v>
      </c>
    </row>
    <row r="187" spans="2:11" ht="15.5">
      <c r="B187" s="380" t="s">
        <v>337</v>
      </c>
      <c r="C187" s="382">
        <v>12.9</v>
      </c>
      <c r="D187" s="383">
        <v>6.4</v>
      </c>
      <c r="E187" s="382">
        <v>6.5</v>
      </c>
      <c r="F187" s="382">
        <v>12.9</v>
      </c>
      <c r="G187" s="383">
        <v>6.4</v>
      </c>
      <c r="H187" s="382">
        <v>6.5</v>
      </c>
      <c r="I187" s="376" t="s">
        <v>187</v>
      </c>
      <c r="J187" s="376" t="s">
        <v>187</v>
      </c>
      <c r="K187" s="377" t="s">
        <v>187</v>
      </c>
    </row>
    <row r="188" spans="2:11" ht="15.5">
      <c r="B188" s="380" t="s">
        <v>338</v>
      </c>
      <c r="C188" s="382">
        <v>32.5</v>
      </c>
      <c r="D188" s="383">
        <v>16.100000000000001</v>
      </c>
      <c r="E188" s="382">
        <v>16.399999999999999</v>
      </c>
      <c r="F188" s="382">
        <v>32.5</v>
      </c>
      <c r="G188" s="383">
        <v>16.100000000000001</v>
      </c>
      <c r="H188" s="382">
        <v>16.399999999999999</v>
      </c>
      <c r="I188" s="376" t="s">
        <v>187</v>
      </c>
      <c r="J188" s="376" t="s">
        <v>187</v>
      </c>
      <c r="K188" s="377" t="s">
        <v>187</v>
      </c>
    </row>
    <row r="189" spans="2:11" ht="15.5">
      <c r="B189" s="380" t="s">
        <v>339</v>
      </c>
      <c r="C189" s="382">
        <v>29.5</v>
      </c>
      <c r="D189" s="383">
        <v>14.5</v>
      </c>
      <c r="E189" s="382">
        <v>15</v>
      </c>
      <c r="F189" s="382">
        <v>29.5</v>
      </c>
      <c r="G189" s="383">
        <v>14.5</v>
      </c>
      <c r="H189" s="382">
        <v>15</v>
      </c>
      <c r="I189" s="376" t="s">
        <v>187</v>
      </c>
      <c r="J189" s="376" t="s">
        <v>187</v>
      </c>
      <c r="K189" s="377" t="s">
        <v>187</v>
      </c>
    </row>
    <row r="190" spans="2:11" ht="15">
      <c r="B190" s="372" t="s">
        <v>340</v>
      </c>
      <c r="C190" s="381">
        <v>219.5</v>
      </c>
      <c r="D190" s="381">
        <v>108.3</v>
      </c>
      <c r="E190" s="381">
        <v>111.2</v>
      </c>
      <c r="F190" s="381">
        <v>219.5</v>
      </c>
      <c r="G190" s="381">
        <v>108.3</v>
      </c>
      <c r="H190" s="381">
        <v>111.2</v>
      </c>
      <c r="I190" s="376" t="s">
        <v>187</v>
      </c>
      <c r="J190" s="376" t="s">
        <v>187</v>
      </c>
      <c r="K190" s="377" t="s">
        <v>187</v>
      </c>
    </row>
    <row r="191" spans="2:11" ht="15.5">
      <c r="B191" s="380" t="s">
        <v>341</v>
      </c>
      <c r="C191" s="382">
        <v>25.3</v>
      </c>
      <c r="D191" s="383">
        <v>12.4</v>
      </c>
      <c r="E191" s="382">
        <v>12.9</v>
      </c>
      <c r="F191" s="382">
        <v>25.3</v>
      </c>
      <c r="G191" s="383">
        <v>12.4</v>
      </c>
      <c r="H191" s="382">
        <v>12.9</v>
      </c>
      <c r="I191" s="376" t="s">
        <v>187</v>
      </c>
      <c r="J191" s="376" t="s">
        <v>187</v>
      </c>
      <c r="K191" s="377" t="s">
        <v>187</v>
      </c>
    </row>
    <row r="192" spans="2:11" ht="15.5">
      <c r="B192" s="380" t="s">
        <v>342</v>
      </c>
      <c r="C192" s="382">
        <v>32.299999999999997</v>
      </c>
      <c r="D192" s="383">
        <v>15.7</v>
      </c>
      <c r="E192" s="382">
        <v>16.599999999999998</v>
      </c>
      <c r="F192" s="382">
        <v>32.299999999999997</v>
      </c>
      <c r="G192" s="383">
        <v>15.7</v>
      </c>
      <c r="H192" s="382">
        <v>16.599999999999998</v>
      </c>
      <c r="I192" s="376" t="s">
        <v>187</v>
      </c>
      <c r="J192" s="376" t="s">
        <v>187</v>
      </c>
      <c r="K192" s="377" t="s">
        <v>187</v>
      </c>
    </row>
    <row r="193" spans="2:11" ht="15.5">
      <c r="B193" s="380" t="s">
        <v>343</v>
      </c>
      <c r="C193" s="382">
        <v>42.3</v>
      </c>
      <c r="D193" s="383">
        <v>20.9</v>
      </c>
      <c r="E193" s="382">
        <v>21.4</v>
      </c>
      <c r="F193" s="382">
        <v>42.3</v>
      </c>
      <c r="G193" s="383">
        <v>20.9</v>
      </c>
      <c r="H193" s="382">
        <v>21.4</v>
      </c>
      <c r="I193" s="376" t="s">
        <v>187</v>
      </c>
      <c r="J193" s="376" t="s">
        <v>187</v>
      </c>
      <c r="K193" s="377" t="s">
        <v>187</v>
      </c>
    </row>
    <row r="194" spans="2:11" ht="15.5">
      <c r="B194" s="380" t="s">
        <v>344</v>
      </c>
      <c r="C194" s="382">
        <v>87.3</v>
      </c>
      <c r="D194" s="383">
        <v>43.5</v>
      </c>
      <c r="E194" s="382">
        <v>43.8</v>
      </c>
      <c r="F194" s="382">
        <v>87.3</v>
      </c>
      <c r="G194" s="383">
        <v>43.5</v>
      </c>
      <c r="H194" s="382">
        <v>43.8</v>
      </c>
      <c r="I194" s="376" t="s">
        <v>187</v>
      </c>
      <c r="J194" s="376" t="s">
        <v>187</v>
      </c>
      <c r="K194" s="377" t="s">
        <v>187</v>
      </c>
    </row>
    <row r="195" spans="2:11" ht="15.5">
      <c r="B195" s="380" t="s">
        <v>345</v>
      </c>
      <c r="C195" s="382">
        <v>18.100000000000001</v>
      </c>
      <c r="D195" s="383">
        <v>8.8000000000000007</v>
      </c>
      <c r="E195" s="382">
        <v>9.3000000000000007</v>
      </c>
      <c r="F195" s="382">
        <v>18.100000000000001</v>
      </c>
      <c r="G195" s="383">
        <v>8.8000000000000007</v>
      </c>
      <c r="H195" s="382">
        <v>9.3000000000000007</v>
      </c>
      <c r="I195" s="376" t="s">
        <v>187</v>
      </c>
      <c r="J195" s="376" t="s">
        <v>187</v>
      </c>
      <c r="K195" s="377" t="s">
        <v>187</v>
      </c>
    </row>
    <row r="196" spans="2:11" ht="15.5">
      <c r="B196" s="380" t="s">
        <v>346</v>
      </c>
      <c r="C196" s="382">
        <v>14.2</v>
      </c>
      <c r="D196" s="383">
        <v>7</v>
      </c>
      <c r="E196" s="382">
        <v>7.1999999999999993</v>
      </c>
      <c r="F196" s="382">
        <v>14.2</v>
      </c>
      <c r="G196" s="383">
        <v>7</v>
      </c>
      <c r="H196" s="382">
        <v>7.1999999999999993</v>
      </c>
      <c r="I196" s="376" t="s">
        <v>187</v>
      </c>
      <c r="J196" s="376" t="s">
        <v>187</v>
      </c>
      <c r="K196" s="377" t="s">
        <v>187</v>
      </c>
    </row>
    <row r="197" spans="2:11" ht="15">
      <c r="B197" s="372" t="s">
        <v>347</v>
      </c>
      <c r="C197" s="381">
        <v>178.3</v>
      </c>
      <c r="D197" s="381">
        <v>88.2</v>
      </c>
      <c r="E197" s="381">
        <v>90.100000000000009</v>
      </c>
      <c r="F197" s="381">
        <v>178.3</v>
      </c>
      <c r="G197" s="381">
        <v>88.2</v>
      </c>
      <c r="H197" s="381">
        <v>90.100000000000009</v>
      </c>
      <c r="I197" s="376" t="s">
        <v>187</v>
      </c>
      <c r="J197" s="376" t="s">
        <v>187</v>
      </c>
      <c r="K197" s="377" t="s">
        <v>187</v>
      </c>
    </row>
    <row r="198" spans="2:11" ht="15">
      <c r="B198" s="372" t="s">
        <v>348</v>
      </c>
      <c r="C198" s="381">
        <v>221.1</v>
      </c>
      <c r="D198" s="381">
        <v>109.7</v>
      </c>
      <c r="E198" s="381">
        <v>111.39999999999999</v>
      </c>
      <c r="F198" s="381">
        <v>221.1</v>
      </c>
      <c r="G198" s="381">
        <v>109.7</v>
      </c>
      <c r="H198" s="381">
        <v>111.39999999999999</v>
      </c>
      <c r="I198" s="376" t="s">
        <v>187</v>
      </c>
      <c r="J198" s="376" t="s">
        <v>187</v>
      </c>
      <c r="K198" s="377" t="s">
        <v>187</v>
      </c>
    </row>
    <row r="199" spans="2:11" ht="15">
      <c r="B199" s="372" t="s">
        <v>349</v>
      </c>
      <c r="C199" s="381">
        <v>200</v>
      </c>
      <c r="D199" s="381">
        <v>99.2</v>
      </c>
      <c r="E199" s="381">
        <v>100.8</v>
      </c>
      <c r="F199" s="381">
        <v>200</v>
      </c>
      <c r="G199" s="381">
        <v>99.2</v>
      </c>
      <c r="H199" s="381">
        <v>100.8</v>
      </c>
      <c r="I199" s="376" t="s">
        <v>187</v>
      </c>
      <c r="J199" s="376" t="s">
        <v>187</v>
      </c>
      <c r="K199" s="377" t="s">
        <v>187</v>
      </c>
    </row>
    <row r="200" spans="2:11" ht="15.5">
      <c r="B200" s="380" t="s">
        <v>350</v>
      </c>
      <c r="C200" s="382">
        <v>25.5</v>
      </c>
      <c r="D200" s="383">
        <v>12.5</v>
      </c>
      <c r="E200" s="382">
        <v>13</v>
      </c>
      <c r="F200" s="382">
        <v>25.5</v>
      </c>
      <c r="G200" s="383">
        <v>12.5</v>
      </c>
      <c r="H200" s="382">
        <v>13</v>
      </c>
      <c r="I200" s="376" t="s">
        <v>187</v>
      </c>
      <c r="J200" s="376" t="s">
        <v>187</v>
      </c>
      <c r="K200" s="377" t="s">
        <v>187</v>
      </c>
    </row>
    <row r="201" spans="2:11" ht="15">
      <c r="B201" s="372" t="s">
        <v>351</v>
      </c>
      <c r="C201" s="381">
        <v>20.5</v>
      </c>
      <c r="D201" s="381">
        <v>10.4</v>
      </c>
      <c r="E201" s="381">
        <v>10.1</v>
      </c>
      <c r="F201" s="381">
        <v>20.5</v>
      </c>
      <c r="G201" s="381">
        <v>10.4</v>
      </c>
      <c r="H201" s="381">
        <v>10.1</v>
      </c>
      <c r="I201" s="376" t="s">
        <v>187</v>
      </c>
      <c r="J201" s="376" t="s">
        <v>187</v>
      </c>
      <c r="K201" s="377" t="s">
        <v>187</v>
      </c>
    </row>
    <row r="202" spans="2:11" ht="15.5">
      <c r="B202" s="380" t="s">
        <v>352</v>
      </c>
      <c r="C202" s="382">
        <v>17.2</v>
      </c>
      <c r="D202" s="383">
        <v>8.3000000000000007</v>
      </c>
      <c r="E202" s="382">
        <v>8.8999999999999986</v>
      </c>
      <c r="F202" s="382">
        <v>17.2</v>
      </c>
      <c r="G202" s="383">
        <v>8.3000000000000007</v>
      </c>
      <c r="H202" s="382">
        <v>8.8999999999999986</v>
      </c>
      <c r="I202" s="376" t="s">
        <v>187</v>
      </c>
      <c r="J202" s="376" t="s">
        <v>187</v>
      </c>
      <c r="K202" s="377" t="s">
        <v>187</v>
      </c>
    </row>
    <row r="203" spans="2:11" ht="15.5">
      <c r="B203" s="380" t="s">
        <v>353</v>
      </c>
      <c r="C203" s="382">
        <v>1.7</v>
      </c>
      <c r="D203" s="383">
        <v>1.1000000000000001</v>
      </c>
      <c r="E203" s="382">
        <v>0.59999999999999987</v>
      </c>
      <c r="F203" s="382">
        <v>1.7</v>
      </c>
      <c r="G203" s="383">
        <v>1.1000000000000001</v>
      </c>
      <c r="H203" s="382">
        <v>0.59999999999999987</v>
      </c>
      <c r="I203" s="376" t="s">
        <v>187</v>
      </c>
      <c r="J203" s="376" t="s">
        <v>187</v>
      </c>
      <c r="K203" s="377" t="s">
        <v>187</v>
      </c>
    </row>
    <row r="204" spans="2:11" ht="15.5">
      <c r="B204" s="380" t="s">
        <v>354</v>
      </c>
      <c r="C204" s="382">
        <v>0.4</v>
      </c>
      <c r="D204" s="383">
        <v>0.4</v>
      </c>
      <c r="E204" s="382">
        <v>0</v>
      </c>
      <c r="F204" s="382">
        <v>0.4</v>
      </c>
      <c r="G204" s="383">
        <v>0.4</v>
      </c>
      <c r="H204" s="382">
        <v>0</v>
      </c>
      <c r="I204" s="376" t="s">
        <v>187</v>
      </c>
      <c r="J204" s="376" t="s">
        <v>187</v>
      </c>
      <c r="K204" s="377" t="s">
        <v>187</v>
      </c>
    </row>
    <row r="205" spans="2:11" ht="15.5">
      <c r="B205" s="380" t="s">
        <v>355</v>
      </c>
      <c r="C205" s="382">
        <v>1.2</v>
      </c>
      <c r="D205" s="383">
        <v>0.6</v>
      </c>
      <c r="E205" s="382">
        <v>0.6</v>
      </c>
      <c r="F205" s="382">
        <v>1.2</v>
      </c>
      <c r="G205" s="383">
        <v>0.6</v>
      </c>
      <c r="H205" s="382">
        <v>0.6</v>
      </c>
      <c r="I205" s="376" t="s">
        <v>187</v>
      </c>
      <c r="J205" s="376" t="s">
        <v>187</v>
      </c>
      <c r="K205" s="377" t="s">
        <v>187</v>
      </c>
    </row>
    <row r="206" spans="2:11" ht="15">
      <c r="B206" s="372" t="s">
        <v>356</v>
      </c>
      <c r="C206" s="381">
        <v>286.3</v>
      </c>
      <c r="D206" s="381">
        <v>142.6</v>
      </c>
      <c r="E206" s="381">
        <v>143.70000000000002</v>
      </c>
      <c r="F206" s="381">
        <v>286.3</v>
      </c>
      <c r="G206" s="381">
        <v>142.6</v>
      </c>
      <c r="H206" s="381">
        <v>143.70000000000002</v>
      </c>
      <c r="I206" s="376" t="s">
        <v>187</v>
      </c>
      <c r="J206" s="376" t="s">
        <v>187</v>
      </c>
      <c r="K206" s="377" t="s">
        <v>187</v>
      </c>
    </row>
    <row r="207" spans="2:11" ht="15.5">
      <c r="B207" s="380" t="s">
        <v>357</v>
      </c>
      <c r="C207" s="382">
        <v>11.1</v>
      </c>
      <c r="D207" s="383">
        <v>5.7</v>
      </c>
      <c r="E207" s="382">
        <v>5.3999999999999995</v>
      </c>
      <c r="F207" s="382">
        <v>11.1</v>
      </c>
      <c r="G207" s="383">
        <v>5.7</v>
      </c>
      <c r="H207" s="382">
        <v>5.3999999999999995</v>
      </c>
      <c r="I207" s="376" t="s">
        <v>187</v>
      </c>
      <c r="J207" s="376" t="s">
        <v>187</v>
      </c>
      <c r="K207" s="377" t="s">
        <v>187</v>
      </c>
    </row>
    <row r="208" spans="2:11" ht="15">
      <c r="B208" s="372" t="s">
        <v>358</v>
      </c>
      <c r="C208" s="381">
        <v>247.6</v>
      </c>
      <c r="D208" s="381">
        <v>120.5</v>
      </c>
      <c r="E208" s="381">
        <v>127.1</v>
      </c>
      <c r="F208" s="381">
        <v>247.6</v>
      </c>
      <c r="G208" s="381">
        <v>120.5</v>
      </c>
      <c r="H208" s="381">
        <v>127.1</v>
      </c>
      <c r="I208" s="376" t="s">
        <v>187</v>
      </c>
      <c r="J208" s="376" t="s">
        <v>187</v>
      </c>
      <c r="K208" s="377" t="s">
        <v>187</v>
      </c>
    </row>
    <row r="209" spans="1:11" ht="15">
      <c r="B209" s="372"/>
      <c r="C209" s="384"/>
      <c r="D209" s="385"/>
      <c r="E209" s="385"/>
      <c r="F209" s="386"/>
      <c r="G209" s="386"/>
      <c r="H209" s="386"/>
      <c r="I209" s="386"/>
      <c r="J209" s="386"/>
      <c r="K209" s="387"/>
    </row>
    <row r="210" spans="1:11" ht="15">
      <c r="A210" t="s">
        <v>956</v>
      </c>
      <c r="B210" s="372" t="s">
        <v>359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281</v>
      </c>
      <c r="C211" s="382"/>
      <c r="D211" s="382"/>
      <c r="E211" s="382"/>
      <c r="F211" s="382"/>
      <c r="G211" s="382"/>
      <c r="H211" s="382"/>
      <c r="I211" s="382"/>
      <c r="J211" s="382"/>
      <c r="K211" s="389"/>
    </row>
    <row r="212" spans="1:11" ht="15">
      <c r="B212" s="372" t="s">
        <v>360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361</v>
      </c>
      <c r="C213" s="382">
        <v>1.6</v>
      </c>
      <c r="D213" s="383">
        <v>0.8</v>
      </c>
      <c r="E213" s="382">
        <v>0.8</v>
      </c>
      <c r="F213" s="382">
        <v>1.6</v>
      </c>
      <c r="G213" s="383">
        <v>0.8</v>
      </c>
      <c r="H213" s="382">
        <v>0.8</v>
      </c>
      <c r="I213" s="376" t="s">
        <v>187</v>
      </c>
      <c r="J213" s="376" t="s">
        <v>187</v>
      </c>
      <c r="K213" s="377" t="s">
        <v>187</v>
      </c>
    </row>
    <row r="214" spans="1:11" ht="15.5">
      <c r="B214" s="380" t="s">
        <v>362</v>
      </c>
      <c r="C214" s="382">
        <v>1.4</v>
      </c>
      <c r="D214" s="383">
        <v>0.7</v>
      </c>
      <c r="E214" s="382">
        <v>0.7</v>
      </c>
      <c r="F214" s="382">
        <v>1.4</v>
      </c>
      <c r="G214" s="383">
        <v>0.7</v>
      </c>
      <c r="H214" s="382">
        <v>0.7</v>
      </c>
      <c r="I214" s="376" t="s">
        <v>187</v>
      </c>
      <c r="J214" s="376" t="s">
        <v>187</v>
      </c>
      <c r="K214" s="377" t="s">
        <v>187</v>
      </c>
    </row>
    <row r="215" spans="1:11" ht="15.5">
      <c r="B215" s="380" t="s">
        <v>363</v>
      </c>
      <c r="C215" s="382">
        <v>3.7</v>
      </c>
      <c r="D215" s="383">
        <v>1.8</v>
      </c>
      <c r="E215" s="382">
        <v>1.9000000000000001</v>
      </c>
      <c r="F215" s="382">
        <v>3.7</v>
      </c>
      <c r="G215" s="383">
        <v>1.8</v>
      </c>
      <c r="H215" s="382">
        <v>1.9000000000000001</v>
      </c>
      <c r="I215" s="376" t="s">
        <v>187</v>
      </c>
      <c r="J215" s="376" t="s">
        <v>187</v>
      </c>
      <c r="K215" s="377" t="s">
        <v>187</v>
      </c>
    </row>
    <row r="216" spans="1:11" ht="15.5">
      <c r="B216" s="380" t="s">
        <v>364</v>
      </c>
      <c r="C216" s="382">
        <v>2.1</v>
      </c>
      <c r="D216" s="383">
        <v>1</v>
      </c>
      <c r="E216" s="382">
        <v>1.1000000000000001</v>
      </c>
      <c r="F216" s="382">
        <v>2.1</v>
      </c>
      <c r="G216" s="383">
        <v>1</v>
      </c>
      <c r="H216" s="382">
        <v>1.1000000000000001</v>
      </c>
      <c r="I216" s="376" t="s">
        <v>187</v>
      </c>
      <c r="J216" s="376" t="s">
        <v>187</v>
      </c>
      <c r="K216" s="377" t="s">
        <v>187</v>
      </c>
    </row>
    <row r="217" spans="1:11" ht="15.5">
      <c r="B217" s="380"/>
      <c r="C217" s="392"/>
      <c r="D217" s="392"/>
      <c r="E217" s="392"/>
      <c r="F217" s="392"/>
      <c r="G217" s="392"/>
      <c r="H217" s="392"/>
      <c r="I217" s="392"/>
      <c r="J217" s="392"/>
      <c r="K217" s="393"/>
    </row>
    <row r="218" spans="1:11" ht="15">
      <c r="B218" s="372" t="s">
        <v>365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366</v>
      </c>
      <c r="C219" s="382">
        <v>100.2</v>
      </c>
      <c r="D219" s="383">
        <v>49.5</v>
      </c>
      <c r="E219" s="382">
        <v>50.7</v>
      </c>
      <c r="F219" s="382">
        <v>100.2</v>
      </c>
      <c r="G219" s="383">
        <v>49.5</v>
      </c>
      <c r="H219" s="382">
        <v>50.7</v>
      </c>
      <c r="I219" s="376" t="s">
        <v>187</v>
      </c>
      <c r="J219" s="376" t="s">
        <v>187</v>
      </c>
      <c r="K219" s="377" t="s">
        <v>187</v>
      </c>
    </row>
    <row r="220" spans="1:11" ht="15.5">
      <c r="B220" s="380" t="s">
        <v>367</v>
      </c>
      <c r="C220" s="382">
        <v>4.4000000000000004</v>
      </c>
      <c r="D220" s="383">
        <v>2.2000000000000002</v>
      </c>
      <c r="E220" s="382">
        <v>2.2000000000000002</v>
      </c>
      <c r="F220" s="382">
        <v>4.4000000000000004</v>
      </c>
      <c r="G220" s="383">
        <v>2.2000000000000002</v>
      </c>
      <c r="H220" s="382">
        <v>2.2000000000000002</v>
      </c>
      <c r="I220" s="376" t="s">
        <v>187</v>
      </c>
      <c r="J220" s="376" t="s">
        <v>187</v>
      </c>
      <c r="K220" s="377" t="s">
        <v>187</v>
      </c>
    </row>
    <row r="221" spans="1:11" ht="15.5">
      <c r="B221" s="380" t="s">
        <v>368</v>
      </c>
      <c r="C221" s="382">
        <v>8.3000000000000007</v>
      </c>
      <c r="D221" s="383">
        <v>4.3</v>
      </c>
      <c r="E221" s="382">
        <v>4.0000000000000009</v>
      </c>
      <c r="F221" s="382">
        <v>8.3000000000000007</v>
      </c>
      <c r="G221" s="383">
        <v>4.3</v>
      </c>
      <c r="H221" s="382">
        <v>4.0000000000000009</v>
      </c>
      <c r="I221" s="376" t="s">
        <v>187</v>
      </c>
      <c r="J221" s="376" t="s">
        <v>187</v>
      </c>
      <c r="K221" s="377" t="s">
        <v>187</v>
      </c>
    </row>
    <row r="222" spans="1:11" ht="15.5">
      <c r="B222" s="380" t="s">
        <v>369</v>
      </c>
      <c r="C222" s="382">
        <v>5</v>
      </c>
      <c r="D222" s="383">
        <v>2.6</v>
      </c>
      <c r="E222" s="382">
        <v>2.4</v>
      </c>
      <c r="F222" s="382">
        <v>5</v>
      </c>
      <c r="G222" s="383">
        <v>2.6</v>
      </c>
      <c r="H222" s="382">
        <v>2.4</v>
      </c>
      <c r="I222" s="376" t="s">
        <v>187</v>
      </c>
      <c r="J222" s="376" t="s">
        <v>187</v>
      </c>
      <c r="K222" s="377" t="s">
        <v>187</v>
      </c>
    </row>
    <row r="223" spans="1:11" ht="15.5">
      <c r="B223" s="380" t="s">
        <v>370</v>
      </c>
      <c r="C223" s="382">
        <v>2.9</v>
      </c>
      <c r="D223" s="383">
        <v>1.5</v>
      </c>
      <c r="E223" s="382">
        <v>1.4</v>
      </c>
      <c r="F223" s="382">
        <v>2.9</v>
      </c>
      <c r="G223" s="383">
        <v>1.5</v>
      </c>
      <c r="H223" s="382">
        <v>1.4</v>
      </c>
      <c r="I223" s="376" t="s">
        <v>187</v>
      </c>
      <c r="J223" s="376" t="s">
        <v>187</v>
      </c>
      <c r="K223" s="377" t="s">
        <v>187</v>
      </c>
    </row>
    <row r="224" spans="1:11" ht="15.5">
      <c r="B224" s="380" t="s">
        <v>371</v>
      </c>
      <c r="C224" s="382">
        <v>9.9</v>
      </c>
      <c r="D224" s="383">
        <v>5</v>
      </c>
      <c r="E224" s="382">
        <v>4.9000000000000004</v>
      </c>
      <c r="F224" s="382">
        <v>9.9</v>
      </c>
      <c r="G224" s="383">
        <v>5</v>
      </c>
      <c r="H224" s="382">
        <v>4.9000000000000004</v>
      </c>
      <c r="I224" s="376" t="s">
        <v>187</v>
      </c>
      <c r="J224" s="376" t="s">
        <v>187</v>
      </c>
      <c r="K224" s="377" t="s">
        <v>187</v>
      </c>
    </row>
    <row r="225" spans="1:11" ht="15.5">
      <c r="B225" s="380" t="s">
        <v>372</v>
      </c>
      <c r="C225" s="382">
        <v>10.5</v>
      </c>
      <c r="D225" s="383">
        <v>5.0999999999999996</v>
      </c>
      <c r="E225" s="382">
        <v>5.4</v>
      </c>
      <c r="F225" s="382">
        <v>10.5</v>
      </c>
      <c r="G225" s="383">
        <v>5.0999999999999996</v>
      </c>
      <c r="H225" s="382">
        <v>5.4</v>
      </c>
      <c r="I225" s="376" t="s">
        <v>187</v>
      </c>
      <c r="J225" s="376" t="s">
        <v>187</v>
      </c>
      <c r="K225" s="377" t="s">
        <v>187</v>
      </c>
    </row>
    <row r="226" spans="1:11" ht="15.5">
      <c r="B226" s="380" t="s">
        <v>373</v>
      </c>
      <c r="C226" s="382">
        <v>12.7</v>
      </c>
      <c r="D226" s="383">
        <v>6.5</v>
      </c>
      <c r="E226" s="382">
        <v>6.1999999999999993</v>
      </c>
      <c r="F226" s="382">
        <v>12.7</v>
      </c>
      <c r="G226" s="383">
        <v>6.5</v>
      </c>
      <c r="H226" s="382">
        <v>6.1999999999999993</v>
      </c>
      <c r="I226" s="376" t="s">
        <v>187</v>
      </c>
      <c r="J226" s="376" t="s">
        <v>187</v>
      </c>
      <c r="K226" s="377" t="s">
        <v>187</v>
      </c>
    </row>
    <row r="227" spans="1:11" ht="15.5">
      <c r="B227" s="380" t="s">
        <v>374</v>
      </c>
      <c r="C227" s="382">
        <v>20.399999999999999</v>
      </c>
      <c r="D227" s="383">
        <v>10.3</v>
      </c>
      <c r="E227" s="382">
        <v>10.099999999999998</v>
      </c>
      <c r="F227" s="382">
        <v>20.399999999999999</v>
      </c>
      <c r="G227" s="383">
        <v>10.3</v>
      </c>
      <c r="H227" s="382">
        <v>10.099999999999998</v>
      </c>
      <c r="I227" s="376" t="s">
        <v>187</v>
      </c>
      <c r="J227" s="376" t="s">
        <v>187</v>
      </c>
      <c r="K227" s="377" t="s">
        <v>187</v>
      </c>
    </row>
    <row r="228" spans="1:11" ht="15.5">
      <c r="B228" s="380"/>
      <c r="C228" s="385"/>
      <c r="D228" s="385"/>
      <c r="E228" s="385"/>
      <c r="F228" s="385"/>
      <c r="G228" s="385"/>
      <c r="H228" s="385"/>
      <c r="I228" s="385"/>
      <c r="J228" s="385"/>
      <c r="K228" s="394"/>
    </row>
    <row r="229" spans="1:11" ht="15">
      <c r="B229" s="372" t="s">
        <v>375</v>
      </c>
      <c r="C229" s="381">
        <v>343.1</v>
      </c>
      <c r="D229" s="381">
        <v>169.4</v>
      </c>
      <c r="E229" s="381">
        <v>173.70000000000002</v>
      </c>
      <c r="F229" s="381">
        <v>343.1</v>
      </c>
      <c r="G229" s="381">
        <v>169.4</v>
      </c>
      <c r="H229" s="381">
        <v>173.70000000000002</v>
      </c>
      <c r="I229" s="376" t="s">
        <v>187</v>
      </c>
      <c r="J229" s="376" t="s">
        <v>187</v>
      </c>
      <c r="K229" s="377" t="s">
        <v>187</v>
      </c>
    </row>
    <row r="230" spans="1:11" ht="15.5">
      <c r="B230" s="380" t="s">
        <v>375</v>
      </c>
      <c r="C230" s="382">
        <v>306.10000000000002</v>
      </c>
      <c r="D230" s="383">
        <v>151</v>
      </c>
      <c r="E230" s="382">
        <v>155.10000000000002</v>
      </c>
      <c r="F230" s="382">
        <v>306.10000000000002</v>
      </c>
      <c r="G230" s="383">
        <v>151</v>
      </c>
      <c r="H230" s="382">
        <v>155.10000000000002</v>
      </c>
      <c r="I230" s="376" t="s">
        <v>187</v>
      </c>
      <c r="J230" s="376" t="s">
        <v>187</v>
      </c>
      <c r="K230" s="377" t="s">
        <v>187</v>
      </c>
    </row>
    <row r="231" spans="1:11" ht="15.5">
      <c r="B231" s="380" t="s">
        <v>376</v>
      </c>
      <c r="C231" s="382">
        <v>13.6</v>
      </c>
      <c r="D231" s="383">
        <v>6.7</v>
      </c>
      <c r="E231" s="382">
        <v>6.8999999999999995</v>
      </c>
      <c r="F231" s="382">
        <v>13.6</v>
      </c>
      <c r="G231" s="383">
        <v>6.7</v>
      </c>
      <c r="H231" s="382">
        <v>6.8999999999999995</v>
      </c>
      <c r="I231" s="376" t="s">
        <v>187</v>
      </c>
      <c r="J231" s="376" t="s">
        <v>187</v>
      </c>
      <c r="K231" s="377" t="s">
        <v>187</v>
      </c>
    </row>
    <row r="232" spans="1:11" ht="15.5">
      <c r="B232" s="380" t="s">
        <v>377</v>
      </c>
      <c r="C232" s="382">
        <v>23.4</v>
      </c>
      <c r="D232" s="383">
        <v>11.7</v>
      </c>
      <c r="E232" s="382">
        <v>11.7</v>
      </c>
      <c r="F232" s="382">
        <v>23.4</v>
      </c>
      <c r="G232" s="383">
        <v>11.7</v>
      </c>
      <c r="H232" s="382">
        <v>11.7</v>
      </c>
      <c r="I232" s="376" t="s">
        <v>187</v>
      </c>
      <c r="J232" s="376" t="s">
        <v>187</v>
      </c>
      <c r="K232" s="377" t="s">
        <v>187</v>
      </c>
    </row>
    <row r="233" spans="1:11" ht="15.5">
      <c r="B233" s="380"/>
      <c r="C233" s="395"/>
      <c r="D233" s="395"/>
      <c r="E233" s="395"/>
      <c r="F233" s="396"/>
      <c r="G233" s="397"/>
      <c r="H233" s="397"/>
      <c r="I233" s="397"/>
      <c r="J233" s="397"/>
      <c r="K233" s="398"/>
    </row>
    <row r="234" spans="1:11" ht="15">
      <c r="A234" t="s">
        <v>956</v>
      </c>
      <c r="B234" s="372" t="s">
        <v>378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281</v>
      </c>
      <c r="C235" s="373"/>
      <c r="D235" s="373"/>
      <c r="E235" s="373"/>
      <c r="F235" s="373"/>
      <c r="G235" s="373"/>
      <c r="H235" s="373"/>
      <c r="I235" s="373"/>
      <c r="J235" s="373"/>
      <c r="K235" s="379"/>
    </row>
    <row r="236" spans="1:11" ht="15">
      <c r="B236" s="372" t="s">
        <v>379</v>
      </c>
      <c r="C236" s="381">
        <v>334</v>
      </c>
      <c r="D236" s="381">
        <v>163.1</v>
      </c>
      <c r="E236" s="381">
        <v>170.9</v>
      </c>
      <c r="F236" s="381">
        <v>334</v>
      </c>
      <c r="G236" s="381">
        <v>163.1</v>
      </c>
      <c r="H236" s="381">
        <v>170.9</v>
      </c>
      <c r="I236" s="376" t="s">
        <v>187</v>
      </c>
      <c r="J236" s="376" t="s">
        <v>187</v>
      </c>
      <c r="K236" s="377" t="s">
        <v>187</v>
      </c>
    </row>
    <row r="237" spans="1:11" ht="15.5">
      <c r="B237" s="400" t="s">
        <v>380</v>
      </c>
      <c r="C237" s="373"/>
      <c r="D237" s="373"/>
      <c r="E237" s="373"/>
      <c r="F237" s="373"/>
      <c r="G237" s="373"/>
      <c r="H237" s="373"/>
      <c r="I237" s="401"/>
      <c r="J237" s="401"/>
      <c r="K237" s="402"/>
    </row>
    <row r="238" spans="1:11" ht="15.5">
      <c r="B238" s="403" t="s">
        <v>349</v>
      </c>
      <c r="C238" s="382">
        <v>152.5</v>
      </c>
      <c r="D238" s="382">
        <v>74.400000000000006</v>
      </c>
      <c r="E238" s="382">
        <v>78.099999999999994</v>
      </c>
      <c r="F238" s="382">
        <v>152.5</v>
      </c>
      <c r="G238" s="382">
        <v>74.400000000000006</v>
      </c>
      <c r="H238" s="382">
        <v>78.099999999999994</v>
      </c>
      <c r="I238" s="376" t="s">
        <v>187</v>
      </c>
      <c r="J238" s="376" t="s">
        <v>187</v>
      </c>
      <c r="K238" s="377" t="s">
        <v>187</v>
      </c>
    </row>
    <row r="239" spans="1:11" ht="15.5">
      <c r="B239" s="403" t="s">
        <v>381</v>
      </c>
      <c r="C239" s="382">
        <v>181.5</v>
      </c>
      <c r="D239" s="382">
        <v>88.7</v>
      </c>
      <c r="E239" s="382">
        <v>92.8</v>
      </c>
      <c r="F239" s="382">
        <v>181.5</v>
      </c>
      <c r="G239" s="382">
        <v>88.7</v>
      </c>
      <c r="H239" s="382">
        <v>92.8</v>
      </c>
      <c r="I239" s="376" t="s">
        <v>187</v>
      </c>
      <c r="J239" s="376" t="s">
        <v>187</v>
      </c>
      <c r="K239" s="377" t="s">
        <v>187</v>
      </c>
    </row>
    <row r="240" spans="1:11" ht="15.5">
      <c r="B240" s="380" t="s">
        <v>382</v>
      </c>
      <c r="C240" s="382">
        <v>0.4</v>
      </c>
      <c r="D240" s="383">
        <v>0.2</v>
      </c>
      <c r="E240" s="382">
        <v>0.2</v>
      </c>
      <c r="F240" s="382">
        <v>0.4</v>
      </c>
      <c r="G240" s="383">
        <v>0.2</v>
      </c>
      <c r="H240" s="382">
        <v>0.2</v>
      </c>
      <c r="I240" s="376" t="s">
        <v>187</v>
      </c>
      <c r="J240" s="376" t="s">
        <v>187</v>
      </c>
      <c r="K240" s="377" t="s">
        <v>187</v>
      </c>
    </row>
    <row r="241" spans="2:11" ht="15.5">
      <c r="B241" s="380" t="s">
        <v>383</v>
      </c>
      <c r="C241" s="382" t="s">
        <v>187</v>
      </c>
      <c r="D241" s="382" t="s">
        <v>187</v>
      </c>
      <c r="E241" s="382" t="s">
        <v>187</v>
      </c>
      <c r="F241" s="382" t="s">
        <v>187</v>
      </c>
      <c r="G241" s="382" t="s">
        <v>187</v>
      </c>
      <c r="H241" s="382" t="s">
        <v>187</v>
      </c>
      <c r="I241" s="376" t="s">
        <v>187</v>
      </c>
      <c r="J241" s="376" t="s">
        <v>187</v>
      </c>
      <c r="K241" s="377" t="s">
        <v>187</v>
      </c>
    </row>
    <row r="242" spans="2:11" ht="15.5">
      <c r="B242" s="380" t="s">
        <v>384</v>
      </c>
      <c r="C242" s="382">
        <v>4.4000000000000004</v>
      </c>
      <c r="D242" s="383">
        <v>2.2000000000000002</v>
      </c>
      <c r="E242" s="382">
        <v>2.2000000000000002</v>
      </c>
      <c r="F242" s="382">
        <v>4.4000000000000004</v>
      </c>
      <c r="G242" s="383">
        <v>2.2000000000000002</v>
      </c>
      <c r="H242" s="382">
        <v>2.2000000000000002</v>
      </c>
      <c r="I242" s="376" t="s">
        <v>187</v>
      </c>
      <c r="J242" s="376" t="s">
        <v>187</v>
      </c>
      <c r="K242" s="377" t="s">
        <v>187</v>
      </c>
    </row>
    <row r="243" spans="2:11" ht="15.5">
      <c r="B243" s="380" t="s">
        <v>385</v>
      </c>
      <c r="C243" s="382">
        <v>14.3</v>
      </c>
      <c r="D243" s="383">
        <v>7</v>
      </c>
      <c r="E243" s="382">
        <v>7.3000000000000007</v>
      </c>
      <c r="F243" s="382">
        <v>14.3</v>
      </c>
      <c r="G243" s="383">
        <v>7</v>
      </c>
      <c r="H243" s="382">
        <v>7.3000000000000007</v>
      </c>
      <c r="I243" s="376" t="s">
        <v>187</v>
      </c>
      <c r="J243" s="376" t="s">
        <v>187</v>
      </c>
      <c r="K243" s="377" t="s">
        <v>187</v>
      </c>
    </row>
    <row r="244" spans="2:11" ht="15.5">
      <c r="B244" s="380" t="s">
        <v>386</v>
      </c>
      <c r="C244" s="382">
        <v>4.8</v>
      </c>
      <c r="D244" s="383">
        <v>2.2999999999999998</v>
      </c>
      <c r="E244" s="382">
        <v>2.5</v>
      </c>
      <c r="F244" s="382">
        <v>4.8</v>
      </c>
      <c r="G244" s="383">
        <v>2.2999999999999998</v>
      </c>
      <c r="H244" s="382">
        <v>2.5</v>
      </c>
      <c r="I244" s="376" t="s">
        <v>187</v>
      </c>
      <c r="J244" s="376" t="s">
        <v>187</v>
      </c>
      <c r="K244" s="377" t="s">
        <v>187</v>
      </c>
    </row>
    <row r="245" spans="2:11" ht="15.5">
      <c r="B245" s="380" t="s">
        <v>387</v>
      </c>
      <c r="C245" s="382">
        <v>11.2</v>
      </c>
      <c r="D245" s="383">
        <v>5.5</v>
      </c>
      <c r="E245" s="382">
        <v>5.6999999999999993</v>
      </c>
      <c r="F245" s="382">
        <v>11.2</v>
      </c>
      <c r="G245" s="383">
        <v>5.5</v>
      </c>
      <c r="H245" s="382">
        <v>5.6999999999999993</v>
      </c>
      <c r="I245" s="376" t="s">
        <v>187</v>
      </c>
      <c r="J245" s="376" t="s">
        <v>187</v>
      </c>
      <c r="K245" s="377" t="s">
        <v>187</v>
      </c>
    </row>
    <row r="246" spans="2:11" ht="15.5">
      <c r="B246" s="380" t="s">
        <v>388</v>
      </c>
      <c r="C246" s="382">
        <v>8.5</v>
      </c>
      <c r="D246" s="383">
        <v>4.0999999999999996</v>
      </c>
      <c r="E246" s="382">
        <v>4.4000000000000004</v>
      </c>
      <c r="F246" s="382">
        <v>8.5</v>
      </c>
      <c r="G246" s="383">
        <v>4.0999999999999996</v>
      </c>
      <c r="H246" s="382">
        <v>4.4000000000000004</v>
      </c>
      <c r="I246" s="376" t="s">
        <v>187</v>
      </c>
      <c r="J246" s="376" t="s">
        <v>187</v>
      </c>
      <c r="K246" s="377" t="s">
        <v>187</v>
      </c>
    </row>
    <row r="247" spans="2:11" ht="15.5">
      <c r="B247" s="380"/>
      <c r="C247" s="385"/>
      <c r="D247" s="385"/>
      <c r="E247" s="385"/>
      <c r="F247" s="385"/>
      <c r="G247" s="385"/>
      <c r="H247" s="385"/>
      <c r="I247" s="385"/>
      <c r="J247" s="385"/>
      <c r="K247" s="394"/>
    </row>
    <row r="248" spans="2:11" ht="15">
      <c r="B248" s="372" t="s">
        <v>389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390</v>
      </c>
      <c r="C249" s="382">
        <v>21.9</v>
      </c>
      <c r="D249" s="383">
        <v>10.6</v>
      </c>
      <c r="E249" s="382">
        <v>11.299999999999999</v>
      </c>
      <c r="F249" s="382">
        <v>21.9</v>
      </c>
      <c r="G249" s="383">
        <v>10.6</v>
      </c>
      <c r="H249" s="382">
        <v>11.299999999999999</v>
      </c>
      <c r="I249" s="376" t="s">
        <v>187</v>
      </c>
      <c r="J249" s="376" t="s">
        <v>187</v>
      </c>
      <c r="K249" s="377" t="s">
        <v>187</v>
      </c>
    </row>
    <row r="250" spans="2:11" ht="15.5">
      <c r="B250" s="380"/>
      <c r="C250" s="392"/>
      <c r="D250" s="392"/>
      <c r="E250" s="392"/>
      <c r="F250" s="392"/>
      <c r="G250" s="392"/>
      <c r="H250" s="392"/>
      <c r="I250" s="392"/>
      <c r="J250" s="392"/>
      <c r="K250" s="393"/>
    </row>
    <row r="251" spans="2:11" ht="15">
      <c r="B251" s="372" t="s">
        <v>391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392</v>
      </c>
      <c r="C252" s="382">
        <v>12.8</v>
      </c>
      <c r="D252" s="383">
        <v>6.4</v>
      </c>
      <c r="E252" s="382">
        <v>6.4</v>
      </c>
      <c r="F252" s="382">
        <v>12.8</v>
      </c>
      <c r="G252" s="383">
        <v>6.4</v>
      </c>
      <c r="H252" s="382">
        <v>6.4</v>
      </c>
      <c r="I252" s="376" t="s">
        <v>187</v>
      </c>
      <c r="J252" s="376" t="s">
        <v>187</v>
      </c>
      <c r="K252" s="377" t="s">
        <v>187</v>
      </c>
    </row>
    <row r="253" spans="2:11" ht="15.5">
      <c r="B253" s="380" t="s">
        <v>393</v>
      </c>
      <c r="C253" s="382">
        <v>1.1000000000000001</v>
      </c>
      <c r="D253" s="383">
        <v>0.6</v>
      </c>
      <c r="E253" s="382">
        <v>0.50000000000000011</v>
      </c>
      <c r="F253" s="382">
        <v>1.1000000000000001</v>
      </c>
      <c r="G253" s="383">
        <v>0.6</v>
      </c>
      <c r="H253" s="382">
        <v>0.50000000000000011</v>
      </c>
      <c r="I253" s="376" t="s">
        <v>187</v>
      </c>
      <c r="J253" s="376" t="s">
        <v>187</v>
      </c>
      <c r="K253" s="377" t="s">
        <v>187</v>
      </c>
    </row>
    <row r="254" spans="2:11" ht="15.5">
      <c r="B254" s="380" t="s">
        <v>394</v>
      </c>
      <c r="C254" s="382">
        <v>0</v>
      </c>
      <c r="D254" s="383">
        <v>0</v>
      </c>
      <c r="E254" s="382">
        <v>0</v>
      </c>
      <c r="F254" s="382">
        <v>0</v>
      </c>
      <c r="G254" s="383">
        <v>0</v>
      </c>
      <c r="H254" s="382">
        <v>0</v>
      </c>
      <c r="I254" s="376" t="s">
        <v>187</v>
      </c>
      <c r="J254" s="376" t="s">
        <v>187</v>
      </c>
      <c r="K254" s="377" t="s">
        <v>187</v>
      </c>
    </row>
    <row r="255" spans="2:11" ht="15.5">
      <c r="B255" s="380" t="s">
        <v>395</v>
      </c>
      <c r="C255" s="382">
        <v>0.6</v>
      </c>
      <c r="D255" s="383">
        <v>0.3</v>
      </c>
      <c r="E255" s="382">
        <v>0.3</v>
      </c>
      <c r="F255" s="382">
        <v>0.6</v>
      </c>
      <c r="G255" s="383">
        <v>0.3</v>
      </c>
      <c r="H255" s="382">
        <v>0.3</v>
      </c>
      <c r="I255" s="376" t="s">
        <v>187</v>
      </c>
      <c r="J255" s="376" t="s">
        <v>187</v>
      </c>
      <c r="K255" s="377" t="s">
        <v>187</v>
      </c>
    </row>
    <row r="256" spans="2:11" ht="15.5">
      <c r="B256" s="380" t="s">
        <v>396</v>
      </c>
      <c r="C256" s="382">
        <v>0.2</v>
      </c>
      <c r="D256" s="383">
        <v>0.1</v>
      </c>
      <c r="E256" s="382">
        <v>0.1</v>
      </c>
      <c r="F256" s="382">
        <v>0.2</v>
      </c>
      <c r="G256" s="383">
        <v>0.1</v>
      </c>
      <c r="H256" s="382">
        <v>0.1</v>
      </c>
      <c r="I256" s="376" t="s">
        <v>187</v>
      </c>
      <c r="J256" s="376" t="s">
        <v>187</v>
      </c>
      <c r="K256" s="377" t="s">
        <v>187</v>
      </c>
    </row>
    <row r="257" spans="2:11" ht="15.5">
      <c r="B257" s="380" t="s">
        <v>397</v>
      </c>
      <c r="C257" s="382">
        <v>0.2</v>
      </c>
      <c r="D257" s="383">
        <v>0.1</v>
      </c>
      <c r="E257" s="382">
        <v>0.1</v>
      </c>
      <c r="F257" s="382">
        <v>0.2</v>
      </c>
      <c r="G257" s="383">
        <v>0.1</v>
      </c>
      <c r="H257" s="382">
        <v>0.1</v>
      </c>
      <c r="I257" s="376" t="s">
        <v>187</v>
      </c>
      <c r="J257" s="376" t="s">
        <v>187</v>
      </c>
      <c r="K257" s="377" t="s">
        <v>187</v>
      </c>
    </row>
    <row r="258" spans="2:11" ht="15.5">
      <c r="B258" s="380" t="s">
        <v>398</v>
      </c>
      <c r="C258" s="382">
        <v>1.7</v>
      </c>
      <c r="D258" s="383">
        <v>0.8</v>
      </c>
      <c r="E258" s="382">
        <v>0.89999999999999991</v>
      </c>
      <c r="F258" s="382">
        <v>1.7</v>
      </c>
      <c r="G258" s="383">
        <v>0.8</v>
      </c>
      <c r="H258" s="382">
        <v>0.89999999999999991</v>
      </c>
      <c r="I258" s="376" t="s">
        <v>187</v>
      </c>
      <c r="J258" s="376" t="s">
        <v>187</v>
      </c>
      <c r="K258" s="377" t="s">
        <v>187</v>
      </c>
    </row>
    <row r="259" spans="2:11" ht="15.5">
      <c r="B259" s="380" t="s">
        <v>399</v>
      </c>
      <c r="C259" s="382">
        <v>0</v>
      </c>
      <c r="D259" s="383">
        <v>0</v>
      </c>
      <c r="E259" s="382">
        <v>0</v>
      </c>
      <c r="F259" s="382">
        <v>0</v>
      </c>
      <c r="G259" s="383">
        <v>0</v>
      </c>
      <c r="H259" s="382">
        <v>0</v>
      </c>
      <c r="I259" s="376" t="s">
        <v>187</v>
      </c>
      <c r="J259" s="376" t="s">
        <v>187</v>
      </c>
      <c r="K259" s="377" t="s">
        <v>187</v>
      </c>
    </row>
    <row r="260" spans="2:11" ht="15.5">
      <c r="B260" s="380" t="s">
        <v>400</v>
      </c>
      <c r="C260" s="382">
        <v>1.8</v>
      </c>
      <c r="D260" s="383">
        <v>0.9</v>
      </c>
      <c r="E260" s="382">
        <v>0.9</v>
      </c>
      <c r="F260" s="382">
        <v>1.8</v>
      </c>
      <c r="G260" s="383">
        <v>0.9</v>
      </c>
      <c r="H260" s="382">
        <v>0.9</v>
      </c>
      <c r="I260" s="376" t="s">
        <v>187</v>
      </c>
      <c r="J260" s="376" t="s">
        <v>187</v>
      </c>
      <c r="K260" s="377" t="s">
        <v>187</v>
      </c>
    </row>
    <row r="261" spans="2:11" ht="15.5">
      <c r="B261" s="380" t="s">
        <v>401</v>
      </c>
      <c r="C261" s="382">
        <v>3</v>
      </c>
      <c r="D261" s="383">
        <v>1.4</v>
      </c>
      <c r="E261" s="382">
        <v>1.6</v>
      </c>
      <c r="F261" s="382">
        <v>3</v>
      </c>
      <c r="G261" s="383">
        <v>1.4</v>
      </c>
      <c r="H261" s="382">
        <v>1.6</v>
      </c>
      <c r="I261" s="376" t="s">
        <v>187</v>
      </c>
      <c r="J261" s="376" t="s">
        <v>187</v>
      </c>
      <c r="K261" s="377" t="s">
        <v>187</v>
      </c>
    </row>
    <row r="262" spans="2:11" ht="15.5">
      <c r="B262" s="380"/>
      <c r="C262" s="404"/>
      <c r="D262" s="404"/>
      <c r="E262" s="404"/>
      <c r="F262" s="404"/>
      <c r="G262" s="404"/>
      <c r="H262" s="404"/>
      <c r="I262" s="404"/>
      <c r="J262" s="404"/>
      <c r="K262" s="405"/>
    </row>
    <row r="263" spans="2:11" ht="15">
      <c r="B263" s="372" t="s">
        <v>402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403</v>
      </c>
      <c r="C264" s="382">
        <v>14.1</v>
      </c>
      <c r="D264" s="383">
        <v>6.9</v>
      </c>
      <c r="E264" s="382">
        <v>7.1999999999999993</v>
      </c>
      <c r="F264" s="382">
        <v>14.1</v>
      </c>
      <c r="G264" s="383">
        <v>6.9</v>
      </c>
      <c r="H264" s="382">
        <v>7.1999999999999993</v>
      </c>
      <c r="I264" s="376" t="s">
        <v>187</v>
      </c>
      <c r="J264" s="376" t="s">
        <v>187</v>
      </c>
      <c r="K264" s="377" t="s">
        <v>187</v>
      </c>
    </row>
    <row r="265" spans="2:11" ht="15.5">
      <c r="B265" s="380" t="s">
        <v>404</v>
      </c>
      <c r="C265" s="382">
        <v>15.2</v>
      </c>
      <c r="D265" s="383">
        <v>7.7</v>
      </c>
      <c r="E265" s="382">
        <v>7.4999999999999991</v>
      </c>
      <c r="F265" s="382">
        <v>15.2</v>
      </c>
      <c r="G265" s="383">
        <v>7.7</v>
      </c>
      <c r="H265" s="382">
        <v>7.4999999999999991</v>
      </c>
      <c r="I265" s="376" t="s">
        <v>187</v>
      </c>
      <c r="J265" s="376" t="s">
        <v>187</v>
      </c>
      <c r="K265" s="377" t="s">
        <v>187</v>
      </c>
    </row>
    <row r="266" spans="2:11" ht="15.5">
      <c r="B266" s="380"/>
      <c r="C266" s="392"/>
      <c r="D266" s="392"/>
      <c r="E266" s="392"/>
      <c r="F266" s="392"/>
      <c r="G266" s="392"/>
      <c r="H266" s="392"/>
      <c r="I266" s="392"/>
      <c r="J266" s="392"/>
      <c r="K266" s="393"/>
    </row>
    <row r="267" spans="2:11" ht="15">
      <c r="B267" s="372" t="s">
        <v>405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406</v>
      </c>
      <c r="C268" s="382">
        <v>43.4</v>
      </c>
      <c r="D268" s="383">
        <v>21.8</v>
      </c>
      <c r="E268" s="382">
        <v>21.599999999999998</v>
      </c>
      <c r="F268" s="382">
        <v>43.4</v>
      </c>
      <c r="G268" s="383">
        <v>21.8</v>
      </c>
      <c r="H268" s="382">
        <v>21.599999999999998</v>
      </c>
      <c r="I268" s="376" t="s">
        <v>187</v>
      </c>
      <c r="J268" s="376" t="s">
        <v>187</v>
      </c>
      <c r="K268" s="377" t="s">
        <v>187</v>
      </c>
    </row>
    <row r="269" spans="2:11" ht="15.5">
      <c r="B269" s="380" t="s">
        <v>407</v>
      </c>
      <c r="C269" s="382">
        <v>0.4</v>
      </c>
      <c r="D269" s="383">
        <v>0.2</v>
      </c>
      <c r="E269" s="382">
        <v>0.2</v>
      </c>
      <c r="F269" s="382">
        <v>0.4</v>
      </c>
      <c r="G269" s="383">
        <v>0.2</v>
      </c>
      <c r="H269" s="382">
        <v>0.2</v>
      </c>
      <c r="I269" s="376" t="s">
        <v>187</v>
      </c>
      <c r="J269" s="376" t="s">
        <v>187</v>
      </c>
      <c r="K269" s="377" t="s">
        <v>187</v>
      </c>
    </row>
    <row r="270" spans="2:11" ht="15.5">
      <c r="B270" s="380" t="s">
        <v>408</v>
      </c>
      <c r="C270" s="382">
        <v>0.7</v>
      </c>
      <c r="D270" s="383">
        <v>0.3</v>
      </c>
      <c r="E270" s="382">
        <v>0.39999999999999997</v>
      </c>
      <c r="F270" s="382">
        <v>0.7</v>
      </c>
      <c r="G270" s="383">
        <v>0.3</v>
      </c>
      <c r="H270" s="382">
        <v>0.39999999999999997</v>
      </c>
      <c r="I270" s="376" t="s">
        <v>187</v>
      </c>
      <c r="J270" s="376" t="s">
        <v>187</v>
      </c>
      <c r="K270" s="377" t="s">
        <v>187</v>
      </c>
    </row>
    <row r="271" spans="2:11" ht="15.5">
      <c r="B271" s="380" t="s">
        <v>409</v>
      </c>
      <c r="C271" s="382">
        <v>8.4</v>
      </c>
      <c r="D271" s="383">
        <v>4.2</v>
      </c>
      <c r="E271" s="382">
        <v>4.2</v>
      </c>
      <c r="F271" s="382">
        <v>8.4</v>
      </c>
      <c r="G271" s="383">
        <v>4.2</v>
      </c>
      <c r="H271" s="382">
        <v>4.2</v>
      </c>
      <c r="I271" s="376" t="s">
        <v>187</v>
      </c>
      <c r="J271" s="376" t="s">
        <v>187</v>
      </c>
      <c r="K271" s="377" t="s">
        <v>187</v>
      </c>
    </row>
    <row r="272" spans="2:11" ht="15.5">
      <c r="B272" s="380" t="s">
        <v>410</v>
      </c>
      <c r="C272" s="382">
        <v>1.5</v>
      </c>
      <c r="D272" s="383">
        <v>0.8</v>
      </c>
      <c r="E272" s="382">
        <v>0.7</v>
      </c>
      <c r="F272" s="382">
        <v>1.5</v>
      </c>
      <c r="G272" s="383">
        <v>0.8</v>
      </c>
      <c r="H272" s="382">
        <v>0.7</v>
      </c>
      <c r="I272" s="376" t="s">
        <v>187</v>
      </c>
      <c r="J272" s="376" t="s">
        <v>187</v>
      </c>
      <c r="K272" s="377" t="s">
        <v>187</v>
      </c>
    </row>
    <row r="273" spans="2:11" ht="15.5">
      <c r="B273" s="380" t="s">
        <v>411</v>
      </c>
      <c r="C273" s="382">
        <v>7.3</v>
      </c>
      <c r="D273" s="383">
        <v>3.6</v>
      </c>
      <c r="E273" s="382">
        <v>3.6999999999999997</v>
      </c>
      <c r="F273" s="382">
        <v>7.3</v>
      </c>
      <c r="G273" s="383">
        <v>3.6</v>
      </c>
      <c r="H273" s="382">
        <v>3.6999999999999997</v>
      </c>
      <c r="I273" s="376" t="s">
        <v>187</v>
      </c>
      <c r="J273" s="376" t="s">
        <v>187</v>
      </c>
      <c r="K273" s="377" t="s">
        <v>187</v>
      </c>
    </row>
    <row r="274" spans="2:11" ht="15.5">
      <c r="B274" s="380" t="s">
        <v>412</v>
      </c>
      <c r="C274" s="382">
        <v>5.0999999999999996</v>
      </c>
      <c r="D274" s="383">
        <v>2.6</v>
      </c>
      <c r="E274" s="382">
        <v>2.4999999999999996</v>
      </c>
      <c r="F274" s="382">
        <v>5.0999999999999996</v>
      </c>
      <c r="G274" s="383">
        <v>2.6</v>
      </c>
      <c r="H274" s="382">
        <v>2.4999999999999996</v>
      </c>
      <c r="I274" s="376" t="s">
        <v>187</v>
      </c>
      <c r="J274" s="376" t="s">
        <v>187</v>
      </c>
      <c r="K274" s="377" t="s">
        <v>187</v>
      </c>
    </row>
    <row r="275" spans="2:11" ht="15.5">
      <c r="B275" s="380" t="s">
        <v>413</v>
      </c>
      <c r="C275" s="382">
        <v>8.6</v>
      </c>
      <c r="D275" s="383">
        <v>4.4000000000000004</v>
      </c>
      <c r="E275" s="382">
        <v>4.1999999999999993</v>
      </c>
      <c r="F275" s="382">
        <v>8.6</v>
      </c>
      <c r="G275" s="383">
        <v>4.4000000000000004</v>
      </c>
      <c r="H275" s="382">
        <v>4.1999999999999993</v>
      </c>
      <c r="I275" s="376" t="s">
        <v>187</v>
      </c>
      <c r="J275" s="376" t="s">
        <v>187</v>
      </c>
      <c r="K275" s="377" t="s">
        <v>187</v>
      </c>
    </row>
    <row r="276" spans="2:11" ht="15.5">
      <c r="B276" s="380"/>
      <c r="C276" s="404"/>
      <c r="D276" s="404"/>
      <c r="E276" s="404"/>
      <c r="F276" s="404"/>
      <c r="G276" s="404"/>
      <c r="H276" s="404"/>
      <c r="I276" s="404"/>
      <c r="J276" s="404"/>
      <c r="K276" s="405"/>
    </row>
    <row r="277" spans="2:11" ht="15">
      <c r="B277" s="372" t="s">
        <v>414</v>
      </c>
      <c r="C277" s="381">
        <v>100.4</v>
      </c>
      <c r="D277" s="381">
        <v>50.7</v>
      </c>
      <c r="E277" s="381">
        <v>49.7</v>
      </c>
      <c r="F277" s="381">
        <v>11.7</v>
      </c>
      <c r="G277" s="390">
        <v>5.7</v>
      </c>
      <c r="H277" s="381">
        <v>5.9999999999999991</v>
      </c>
      <c r="I277" s="381">
        <v>88.7</v>
      </c>
      <c r="J277" s="381">
        <v>45</v>
      </c>
      <c r="K277" s="391">
        <v>43.7</v>
      </c>
    </row>
    <row r="278" spans="2:11" ht="15.5">
      <c r="B278" s="380" t="s">
        <v>415</v>
      </c>
      <c r="C278" s="382">
        <v>11.7</v>
      </c>
      <c r="D278" s="383">
        <v>5.7</v>
      </c>
      <c r="E278" s="382">
        <v>5.9999999999999991</v>
      </c>
      <c r="F278" s="382">
        <v>11.7</v>
      </c>
      <c r="G278" s="383">
        <v>5.7</v>
      </c>
      <c r="H278" s="382">
        <v>5.9999999999999991</v>
      </c>
      <c r="I278" s="376" t="s">
        <v>187</v>
      </c>
      <c r="J278" s="376" t="s">
        <v>187</v>
      </c>
      <c r="K278" s="377" t="s">
        <v>187</v>
      </c>
    </row>
    <row r="279" spans="2:11" ht="15.5">
      <c r="B279" s="380"/>
      <c r="C279" s="392"/>
      <c r="D279" s="392"/>
      <c r="E279" s="392"/>
      <c r="F279" s="392"/>
      <c r="G279" s="392"/>
      <c r="H279" s="392"/>
      <c r="I279" s="392"/>
      <c r="J279" s="392"/>
      <c r="K279" s="393"/>
    </row>
    <row r="280" spans="2:11" ht="15">
      <c r="B280" s="372" t="s">
        <v>416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417</v>
      </c>
      <c r="C281" s="382">
        <v>11.1</v>
      </c>
      <c r="D281" s="383">
        <v>5.4</v>
      </c>
      <c r="E281" s="382">
        <v>5.6999999999999993</v>
      </c>
      <c r="F281" s="382">
        <v>11.1</v>
      </c>
      <c r="G281" s="383">
        <v>5.4</v>
      </c>
      <c r="H281" s="382">
        <v>5.6999999999999993</v>
      </c>
      <c r="I281" s="376" t="s">
        <v>187</v>
      </c>
      <c r="J281" s="376" t="s">
        <v>187</v>
      </c>
      <c r="K281" s="377" t="s">
        <v>187</v>
      </c>
    </row>
    <row r="282" spans="2:11" ht="15.5">
      <c r="B282" s="380" t="s">
        <v>418</v>
      </c>
      <c r="C282" s="382">
        <v>0.8</v>
      </c>
      <c r="D282" s="383">
        <v>0.4</v>
      </c>
      <c r="E282" s="382">
        <v>0.4</v>
      </c>
      <c r="F282" s="382">
        <v>0.8</v>
      </c>
      <c r="G282" s="383">
        <v>0.4</v>
      </c>
      <c r="H282" s="382">
        <v>0.4</v>
      </c>
      <c r="I282" s="376" t="s">
        <v>187</v>
      </c>
      <c r="J282" s="376" t="s">
        <v>187</v>
      </c>
      <c r="K282" s="377" t="s">
        <v>187</v>
      </c>
    </row>
    <row r="283" spans="2:11" ht="15.5">
      <c r="B283" s="380" t="s">
        <v>419</v>
      </c>
      <c r="C283" s="382">
        <v>0.4</v>
      </c>
      <c r="D283" s="383">
        <v>0.2</v>
      </c>
      <c r="E283" s="382">
        <v>0.2</v>
      </c>
      <c r="F283" s="382">
        <v>0.4</v>
      </c>
      <c r="G283" s="383">
        <v>0.2</v>
      </c>
      <c r="H283" s="382">
        <v>0.2</v>
      </c>
      <c r="I283" s="376" t="s">
        <v>187</v>
      </c>
      <c r="J283" s="376" t="s">
        <v>187</v>
      </c>
      <c r="K283" s="377" t="s">
        <v>187</v>
      </c>
    </row>
    <row r="284" spans="2:11" ht="15.5">
      <c r="B284" s="380" t="s">
        <v>420</v>
      </c>
      <c r="C284" s="382">
        <v>0.5</v>
      </c>
      <c r="D284" s="383">
        <v>0.3</v>
      </c>
      <c r="E284" s="382">
        <v>0.2</v>
      </c>
      <c r="F284" s="382">
        <v>0.5</v>
      </c>
      <c r="G284" s="383">
        <v>0.3</v>
      </c>
      <c r="H284" s="382">
        <v>0.2</v>
      </c>
      <c r="I284" s="376" t="s">
        <v>187</v>
      </c>
      <c r="J284" s="376" t="s">
        <v>187</v>
      </c>
      <c r="K284" s="377" t="s">
        <v>187</v>
      </c>
    </row>
    <row r="285" spans="2:11" ht="15.5">
      <c r="B285" s="380" t="s">
        <v>421</v>
      </c>
      <c r="C285" s="382">
        <v>0.5</v>
      </c>
      <c r="D285" s="383">
        <v>0.2</v>
      </c>
      <c r="E285" s="382">
        <v>0.3</v>
      </c>
      <c r="F285" s="382">
        <v>0.5</v>
      </c>
      <c r="G285" s="383">
        <v>0.2</v>
      </c>
      <c r="H285" s="382">
        <v>0.3</v>
      </c>
      <c r="I285" s="376" t="s">
        <v>187</v>
      </c>
      <c r="J285" s="376" t="s">
        <v>187</v>
      </c>
      <c r="K285" s="377" t="s">
        <v>187</v>
      </c>
    </row>
    <row r="286" spans="2:11" ht="15.5">
      <c r="B286" s="380" t="s">
        <v>422</v>
      </c>
      <c r="C286" s="382">
        <v>2</v>
      </c>
      <c r="D286" s="383">
        <v>1.1000000000000001</v>
      </c>
      <c r="E286" s="382">
        <v>0.89999999999999991</v>
      </c>
      <c r="F286" s="382">
        <v>2</v>
      </c>
      <c r="G286" s="383">
        <v>1.1000000000000001</v>
      </c>
      <c r="H286" s="382">
        <v>0.89999999999999991</v>
      </c>
      <c r="I286" s="376" t="s">
        <v>187</v>
      </c>
      <c r="J286" s="376" t="s">
        <v>187</v>
      </c>
      <c r="K286" s="377" t="s">
        <v>187</v>
      </c>
    </row>
    <row r="287" spans="2:11" ht="15.5">
      <c r="B287" s="380"/>
      <c r="C287" s="404"/>
      <c r="D287" s="404"/>
      <c r="E287" s="404"/>
      <c r="F287" s="404"/>
      <c r="G287" s="404"/>
      <c r="H287" s="404"/>
      <c r="I287" s="404"/>
      <c r="J287" s="404"/>
      <c r="K287" s="405"/>
    </row>
    <row r="288" spans="2:11" ht="15">
      <c r="B288" s="372" t="s">
        <v>423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424</v>
      </c>
      <c r="C289" s="382">
        <v>10.199999999999999</v>
      </c>
      <c r="D289" s="383">
        <v>5.0999999999999996</v>
      </c>
      <c r="E289" s="382">
        <v>5.0999999999999996</v>
      </c>
      <c r="F289" s="382">
        <v>10.199999999999999</v>
      </c>
      <c r="G289" s="383">
        <v>5.0999999999999996</v>
      </c>
      <c r="H289" s="382">
        <v>5.0999999999999996</v>
      </c>
      <c r="I289" s="376" t="s">
        <v>187</v>
      </c>
      <c r="J289" s="376" t="s">
        <v>187</v>
      </c>
      <c r="K289" s="377" t="s">
        <v>187</v>
      </c>
    </row>
    <row r="290" spans="2:11" ht="15.5">
      <c r="B290" s="380" t="s">
        <v>425</v>
      </c>
      <c r="C290" s="382">
        <v>1.3</v>
      </c>
      <c r="D290" s="383">
        <v>0.6</v>
      </c>
      <c r="E290" s="382">
        <v>0.70000000000000007</v>
      </c>
      <c r="F290" s="382">
        <v>1.3</v>
      </c>
      <c r="G290" s="383">
        <v>0.6</v>
      </c>
      <c r="H290" s="382">
        <v>0.70000000000000007</v>
      </c>
      <c r="I290" s="376" t="s">
        <v>187</v>
      </c>
      <c r="J290" s="376" t="s">
        <v>187</v>
      </c>
      <c r="K290" s="377" t="s">
        <v>187</v>
      </c>
    </row>
    <row r="291" spans="2:11" ht="15.5">
      <c r="B291" s="380" t="s">
        <v>426</v>
      </c>
      <c r="C291" s="382">
        <v>6.3</v>
      </c>
      <c r="D291" s="383">
        <v>3.2</v>
      </c>
      <c r="E291" s="382">
        <v>3.0999999999999996</v>
      </c>
      <c r="F291" s="382">
        <v>6.3</v>
      </c>
      <c r="G291" s="383">
        <v>3.2</v>
      </c>
      <c r="H291" s="382">
        <v>3.0999999999999996</v>
      </c>
      <c r="I291" s="376" t="s">
        <v>187</v>
      </c>
      <c r="J291" s="376" t="s">
        <v>187</v>
      </c>
      <c r="K291" s="377" t="s">
        <v>187</v>
      </c>
    </row>
    <row r="292" spans="2:11" ht="15.5">
      <c r="B292" s="380" t="s">
        <v>427</v>
      </c>
      <c r="C292" s="382">
        <v>0</v>
      </c>
      <c r="D292" s="383">
        <v>0</v>
      </c>
      <c r="E292" s="382">
        <v>0</v>
      </c>
      <c r="F292" s="382">
        <v>0</v>
      </c>
      <c r="G292" s="383">
        <v>0</v>
      </c>
      <c r="H292" s="382">
        <v>0</v>
      </c>
      <c r="I292" s="376" t="s">
        <v>187</v>
      </c>
      <c r="J292" s="376" t="s">
        <v>187</v>
      </c>
      <c r="K292" s="377" t="s">
        <v>187</v>
      </c>
    </row>
    <row r="293" spans="2:11" ht="15.5">
      <c r="B293" s="380" t="s">
        <v>428</v>
      </c>
      <c r="C293" s="382">
        <v>2</v>
      </c>
      <c r="D293" s="383">
        <v>1</v>
      </c>
      <c r="E293" s="382">
        <v>1</v>
      </c>
      <c r="F293" s="382">
        <v>2</v>
      </c>
      <c r="G293" s="383">
        <v>1</v>
      </c>
      <c r="H293" s="382">
        <v>1</v>
      </c>
      <c r="I293" s="376" t="s">
        <v>187</v>
      </c>
      <c r="J293" s="376" t="s">
        <v>187</v>
      </c>
      <c r="K293" s="377" t="s">
        <v>187</v>
      </c>
    </row>
    <row r="294" spans="2:11" ht="15.5">
      <c r="B294" s="380" t="s">
        <v>429</v>
      </c>
      <c r="C294" s="382">
        <v>1.5</v>
      </c>
      <c r="D294" s="383">
        <v>0.7</v>
      </c>
      <c r="E294" s="382">
        <v>0.8</v>
      </c>
      <c r="F294" s="382">
        <v>1.5</v>
      </c>
      <c r="G294" s="383">
        <v>0.7</v>
      </c>
      <c r="H294" s="382">
        <v>0.8</v>
      </c>
      <c r="I294" s="376" t="s">
        <v>187</v>
      </c>
      <c r="J294" s="376" t="s">
        <v>187</v>
      </c>
      <c r="K294" s="377" t="s">
        <v>187</v>
      </c>
    </row>
    <row r="295" spans="2:11" ht="15.5">
      <c r="B295" s="380" t="s">
        <v>430</v>
      </c>
      <c r="C295" s="382">
        <v>0.6</v>
      </c>
      <c r="D295" s="383">
        <v>0.3</v>
      </c>
      <c r="E295" s="382">
        <v>0.3</v>
      </c>
      <c r="F295" s="382">
        <v>0.6</v>
      </c>
      <c r="G295" s="383">
        <v>0.3</v>
      </c>
      <c r="H295" s="382">
        <v>0.3</v>
      </c>
      <c r="I295" s="376" t="s">
        <v>187</v>
      </c>
      <c r="J295" s="376" t="s">
        <v>187</v>
      </c>
      <c r="K295" s="377" t="s">
        <v>187</v>
      </c>
    </row>
    <row r="296" spans="2:11" ht="15.5">
      <c r="B296" s="380"/>
      <c r="C296" s="385"/>
      <c r="D296" s="385"/>
      <c r="E296" s="385"/>
      <c r="F296" s="385"/>
      <c r="G296" s="385"/>
      <c r="H296" s="385"/>
      <c r="I296" s="385"/>
      <c r="J296" s="385"/>
      <c r="K296" s="394"/>
    </row>
    <row r="297" spans="2:11" ht="15">
      <c r="B297" s="372" t="s">
        <v>431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432</v>
      </c>
      <c r="C298" s="382">
        <v>19.3</v>
      </c>
      <c r="D298" s="383">
        <v>9.6999999999999993</v>
      </c>
      <c r="E298" s="382">
        <v>9.6000000000000014</v>
      </c>
      <c r="F298" s="382">
        <v>19.3</v>
      </c>
      <c r="G298" s="383">
        <v>9.6999999999999993</v>
      </c>
      <c r="H298" s="382">
        <v>9.6000000000000014</v>
      </c>
      <c r="I298" s="376" t="s">
        <v>187</v>
      </c>
      <c r="J298" s="376" t="s">
        <v>187</v>
      </c>
      <c r="K298" s="377" t="s">
        <v>187</v>
      </c>
    </row>
    <row r="299" spans="2:11" ht="15.5">
      <c r="B299" s="380" t="s">
        <v>433</v>
      </c>
      <c r="C299" s="382">
        <v>0.3</v>
      </c>
      <c r="D299" s="383">
        <v>0.2</v>
      </c>
      <c r="E299" s="382">
        <v>9.9999999999999978E-2</v>
      </c>
      <c r="F299" s="382">
        <v>0.3</v>
      </c>
      <c r="G299" s="383">
        <v>0.2</v>
      </c>
      <c r="H299" s="382">
        <v>9.9999999999999978E-2</v>
      </c>
      <c r="I299" s="376" t="s">
        <v>187</v>
      </c>
      <c r="J299" s="376" t="s">
        <v>187</v>
      </c>
      <c r="K299" s="377" t="s">
        <v>187</v>
      </c>
    </row>
    <row r="300" spans="2:11" ht="15.5">
      <c r="B300" s="380" t="s">
        <v>434</v>
      </c>
      <c r="C300" s="382">
        <v>0.1</v>
      </c>
      <c r="D300" s="383">
        <v>0.1</v>
      </c>
      <c r="E300" s="382">
        <v>0</v>
      </c>
      <c r="F300" s="382">
        <v>0.1</v>
      </c>
      <c r="G300" s="383">
        <v>0.1</v>
      </c>
      <c r="H300" s="382">
        <v>0</v>
      </c>
      <c r="I300" s="376" t="s">
        <v>187</v>
      </c>
      <c r="J300" s="376" t="s">
        <v>187</v>
      </c>
      <c r="K300" s="377" t="s">
        <v>187</v>
      </c>
    </row>
    <row r="301" spans="2:11" ht="15.5">
      <c r="B301" s="380" t="s">
        <v>435</v>
      </c>
      <c r="C301" s="382">
        <v>0.4</v>
      </c>
      <c r="D301" s="383">
        <v>0.2</v>
      </c>
      <c r="E301" s="382">
        <v>0.2</v>
      </c>
      <c r="F301" s="382">
        <v>0.4</v>
      </c>
      <c r="G301" s="383">
        <v>0.2</v>
      </c>
      <c r="H301" s="382">
        <v>0.2</v>
      </c>
      <c r="I301" s="376" t="s">
        <v>187</v>
      </c>
      <c r="J301" s="376" t="s">
        <v>187</v>
      </c>
      <c r="K301" s="377" t="s">
        <v>187</v>
      </c>
    </row>
    <row r="302" spans="2:11" ht="15.5">
      <c r="B302" s="380" t="s">
        <v>436</v>
      </c>
      <c r="C302" s="382">
        <v>4.3</v>
      </c>
      <c r="D302" s="383">
        <v>2.1</v>
      </c>
      <c r="E302" s="382">
        <v>2.1999999999999997</v>
      </c>
      <c r="F302" s="382">
        <v>4.3</v>
      </c>
      <c r="G302" s="383">
        <v>2.1</v>
      </c>
      <c r="H302" s="382">
        <v>2.1999999999999997</v>
      </c>
      <c r="I302" s="376" t="s">
        <v>187</v>
      </c>
      <c r="J302" s="376" t="s">
        <v>187</v>
      </c>
      <c r="K302" s="377" t="s">
        <v>187</v>
      </c>
    </row>
    <row r="303" spans="2:11" ht="15.5">
      <c r="B303" s="380" t="s">
        <v>437</v>
      </c>
      <c r="C303" s="382">
        <v>0.4</v>
      </c>
      <c r="D303" s="383">
        <v>0.2</v>
      </c>
      <c r="E303" s="382">
        <v>0.2</v>
      </c>
      <c r="F303" s="382">
        <v>0.4</v>
      </c>
      <c r="G303" s="383">
        <v>0.2</v>
      </c>
      <c r="H303" s="382">
        <v>0.2</v>
      </c>
      <c r="I303" s="376" t="s">
        <v>187</v>
      </c>
      <c r="J303" s="376" t="s">
        <v>187</v>
      </c>
      <c r="K303" s="377" t="s">
        <v>187</v>
      </c>
    </row>
    <row r="304" spans="2:11" ht="15.5">
      <c r="B304" s="380" t="s">
        <v>438</v>
      </c>
      <c r="C304" s="382">
        <v>1</v>
      </c>
      <c r="D304" s="383">
        <v>0.5</v>
      </c>
      <c r="E304" s="382">
        <v>0.5</v>
      </c>
      <c r="F304" s="382">
        <v>1</v>
      </c>
      <c r="G304" s="383">
        <v>0.5</v>
      </c>
      <c r="H304" s="382">
        <v>0.5</v>
      </c>
      <c r="I304" s="376" t="s">
        <v>187</v>
      </c>
      <c r="J304" s="376" t="s">
        <v>187</v>
      </c>
      <c r="K304" s="377" t="s">
        <v>187</v>
      </c>
    </row>
    <row r="305" spans="1:11" ht="15.5">
      <c r="B305" s="380"/>
      <c r="C305" s="392"/>
      <c r="D305" s="392"/>
      <c r="E305" s="392"/>
      <c r="F305" s="392"/>
      <c r="G305" s="392"/>
      <c r="H305" s="392"/>
      <c r="I305" s="392"/>
      <c r="J305" s="392"/>
      <c r="K305" s="393"/>
    </row>
    <row r="306" spans="1:11" ht="15">
      <c r="B306" s="372" t="s">
        <v>439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440</v>
      </c>
      <c r="C307" s="382">
        <v>7.4</v>
      </c>
      <c r="D307" s="383">
        <v>3.7</v>
      </c>
      <c r="E307" s="382">
        <v>3.7</v>
      </c>
      <c r="F307" s="382">
        <v>7.4</v>
      </c>
      <c r="G307" s="383">
        <v>3.7</v>
      </c>
      <c r="H307" s="382">
        <v>3.7</v>
      </c>
      <c r="I307" s="376" t="s">
        <v>187</v>
      </c>
      <c r="J307" s="376" t="s">
        <v>187</v>
      </c>
      <c r="K307" s="377" t="s">
        <v>187</v>
      </c>
    </row>
    <row r="308" spans="1:11" ht="15.5">
      <c r="B308" s="380" t="s">
        <v>441</v>
      </c>
      <c r="C308" s="382">
        <v>5.6</v>
      </c>
      <c r="D308" s="383">
        <v>2.8</v>
      </c>
      <c r="E308" s="382">
        <v>2.8</v>
      </c>
      <c r="F308" s="382">
        <v>5.6</v>
      </c>
      <c r="G308" s="383">
        <v>2.8</v>
      </c>
      <c r="H308" s="382">
        <v>2.8</v>
      </c>
      <c r="I308" s="376" t="s">
        <v>187</v>
      </c>
      <c r="J308" s="376" t="s">
        <v>187</v>
      </c>
      <c r="K308" s="377" t="s">
        <v>187</v>
      </c>
    </row>
    <row r="309" spans="1:11" ht="15.5">
      <c r="B309" s="380" t="s">
        <v>442</v>
      </c>
      <c r="C309" s="382">
        <v>0</v>
      </c>
      <c r="D309" s="383">
        <v>0</v>
      </c>
      <c r="E309" s="382">
        <v>0</v>
      </c>
      <c r="F309" s="382">
        <v>0</v>
      </c>
      <c r="G309" s="383">
        <v>0</v>
      </c>
      <c r="H309" s="382">
        <v>0</v>
      </c>
      <c r="I309" s="376" t="s">
        <v>187</v>
      </c>
      <c r="J309" s="376" t="s">
        <v>187</v>
      </c>
      <c r="K309" s="377" t="s">
        <v>187</v>
      </c>
    </row>
    <row r="310" spans="1:11" ht="15.5">
      <c r="B310" s="380" t="s">
        <v>443</v>
      </c>
      <c r="C310" s="382">
        <v>7.1</v>
      </c>
      <c r="D310" s="383">
        <v>3.6</v>
      </c>
      <c r="E310" s="382">
        <v>3.4999999999999996</v>
      </c>
      <c r="F310" s="382">
        <v>7.1</v>
      </c>
      <c r="G310" s="383">
        <v>3.6</v>
      </c>
      <c r="H310" s="382">
        <v>3.4999999999999996</v>
      </c>
      <c r="I310" s="376" t="s">
        <v>187</v>
      </c>
      <c r="J310" s="376" t="s">
        <v>187</v>
      </c>
      <c r="K310" s="377" t="s">
        <v>187</v>
      </c>
    </row>
    <row r="311" spans="1:11" ht="15.5">
      <c r="B311" s="380" t="s">
        <v>444</v>
      </c>
      <c r="C311" s="382">
        <v>0.3</v>
      </c>
      <c r="D311" s="383">
        <v>0.1</v>
      </c>
      <c r="E311" s="382">
        <v>0.19999999999999998</v>
      </c>
      <c r="F311" s="382">
        <v>0.3</v>
      </c>
      <c r="G311" s="383">
        <v>0.1</v>
      </c>
      <c r="H311" s="382">
        <v>0.19999999999999998</v>
      </c>
      <c r="I311" s="376" t="s">
        <v>187</v>
      </c>
      <c r="J311" s="376" t="s">
        <v>187</v>
      </c>
      <c r="K311" s="377" t="s">
        <v>187</v>
      </c>
    </row>
    <row r="312" spans="1:11" ht="15.5">
      <c r="B312" s="380" t="s">
        <v>445</v>
      </c>
      <c r="C312" s="382">
        <v>0.8</v>
      </c>
      <c r="D312" s="383">
        <v>0.4</v>
      </c>
      <c r="E312" s="382">
        <v>0.4</v>
      </c>
      <c r="F312" s="382">
        <v>0.8</v>
      </c>
      <c r="G312" s="383">
        <v>0.4</v>
      </c>
      <c r="H312" s="382">
        <v>0.4</v>
      </c>
      <c r="I312" s="376" t="s">
        <v>187</v>
      </c>
      <c r="J312" s="376" t="s">
        <v>187</v>
      </c>
      <c r="K312" s="377" t="s">
        <v>187</v>
      </c>
    </row>
    <row r="313" spans="1:11" ht="15.5">
      <c r="B313" s="380" t="s">
        <v>446</v>
      </c>
      <c r="C313" s="382">
        <v>0.8</v>
      </c>
      <c r="D313" s="383">
        <v>0.4</v>
      </c>
      <c r="E313" s="382">
        <v>0.4</v>
      </c>
      <c r="F313" s="382">
        <v>0.8</v>
      </c>
      <c r="G313" s="383">
        <v>0.4</v>
      </c>
      <c r="H313" s="382">
        <v>0.4</v>
      </c>
      <c r="I313" s="376" t="s">
        <v>187</v>
      </c>
      <c r="J313" s="376" t="s">
        <v>187</v>
      </c>
      <c r="K313" s="377" t="s">
        <v>187</v>
      </c>
    </row>
    <row r="314" spans="1:11" ht="15.5">
      <c r="B314" s="380" t="s">
        <v>447</v>
      </c>
      <c r="C314" s="382">
        <v>0.2</v>
      </c>
      <c r="D314" s="383">
        <v>0.1</v>
      </c>
      <c r="E314" s="382">
        <v>0.1</v>
      </c>
      <c r="F314" s="382">
        <v>0.2</v>
      </c>
      <c r="G314" s="383">
        <v>0.1</v>
      </c>
      <c r="H314" s="382">
        <v>0.1</v>
      </c>
      <c r="I314" s="376" t="s">
        <v>187</v>
      </c>
      <c r="J314" s="376" t="s">
        <v>187</v>
      </c>
      <c r="K314" s="377" t="s">
        <v>187</v>
      </c>
    </row>
    <row r="315" spans="1:11" ht="15.5">
      <c r="B315" s="380"/>
      <c r="C315" s="392"/>
      <c r="D315" s="392"/>
      <c r="E315" s="392"/>
      <c r="F315" s="392"/>
      <c r="G315" s="392"/>
      <c r="H315" s="392"/>
      <c r="I315" s="392"/>
      <c r="J315" s="392"/>
      <c r="K315" s="393"/>
    </row>
    <row r="316" spans="1:11" ht="15">
      <c r="B316" s="372" t="s">
        <v>448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956</v>
      </c>
      <c r="B318" s="372" t="s">
        <v>449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281</v>
      </c>
      <c r="C319" s="373"/>
      <c r="D319" s="373"/>
      <c r="E319" s="373"/>
      <c r="F319" s="373"/>
      <c r="G319" s="373"/>
      <c r="H319" s="373"/>
      <c r="I319" s="373"/>
      <c r="J319" s="373"/>
      <c r="K319" s="379"/>
    </row>
    <row r="320" spans="1:11" ht="15">
      <c r="B320" s="372" t="s">
        <v>450</v>
      </c>
      <c r="C320" s="381">
        <v>98.3</v>
      </c>
      <c r="D320" s="381">
        <v>48.8</v>
      </c>
      <c r="E320" s="381">
        <v>49.5</v>
      </c>
      <c r="F320" s="381">
        <v>15</v>
      </c>
      <c r="G320" s="381">
        <v>7</v>
      </c>
      <c r="H320" s="381">
        <v>8</v>
      </c>
      <c r="I320" s="381">
        <v>83.3</v>
      </c>
      <c r="J320" s="381">
        <v>41.8</v>
      </c>
      <c r="K320" s="388">
        <v>41.5</v>
      </c>
    </row>
    <row r="321" spans="2:11" ht="15.5">
      <c r="B321" s="380" t="s">
        <v>451</v>
      </c>
      <c r="C321" s="382">
        <v>14</v>
      </c>
      <c r="D321" s="383">
        <v>6.5</v>
      </c>
      <c r="E321" s="382">
        <v>7.5</v>
      </c>
      <c r="F321" s="382">
        <v>14</v>
      </c>
      <c r="G321" s="383">
        <v>6.5</v>
      </c>
      <c r="H321" s="382">
        <v>7.5</v>
      </c>
      <c r="I321" s="376" t="s">
        <v>187</v>
      </c>
      <c r="J321" s="376" t="s">
        <v>187</v>
      </c>
      <c r="K321" s="377" t="s">
        <v>187</v>
      </c>
    </row>
    <row r="322" spans="2:11" ht="15.5">
      <c r="B322" s="380" t="s">
        <v>452</v>
      </c>
      <c r="C322" s="382">
        <v>1</v>
      </c>
      <c r="D322" s="383">
        <v>0.5</v>
      </c>
      <c r="E322" s="382">
        <v>0.5</v>
      </c>
      <c r="F322" s="382">
        <v>1</v>
      </c>
      <c r="G322" s="383">
        <v>0.5</v>
      </c>
      <c r="H322" s="382">
        <v>0.5</v>
      </c>
      <c r="I322" s="376" t="s">
        <v>187</v>
      </c>
      <c r="J322" s="376" t="s">
        <v>187</v>
      </c>
      <c r="K322" s="377" t="s">
        <v>187</v>
      </c>
    </row>
    <row r="323" spans="2:11" ht="15.5">
      <c r="B323" s="380"/>
      <c r="C323" s="392"/>
      <c r="D323" s="392"/>
      <c r="E323" s="392"/>
      <c r="F323" s="392"/>
      <c r="G323" s="392"/>
      <c r="H323" s="392"/>
      <c r="I323" s="392"/>
      <c r="J323" s="392"/>
      <c r="K323" s="393"/>
    </row>
    <row r="324" spans="2:11" ht="15">
      <c r="B324" s="372" t="s">
        <v>453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454</v>
      </c>
      <c r="C325" s="382">
        <v>21.7</v>
      </c>
      <c r="D325" s="383">
        <v>10.4</v>
      </c>
      <c r="E325" s="382">
        <v>11.299999999999999</v>
      </c>
      <c r="F325" s="382">
        <v>21.7</v>
      </c>
      <c r="G325" s="383">
        <v>10.4</v>
      </c>
      <c r="H325" s="382">
        <v>11.299999999999999</v>
      </c>
      <c r="I325" s="376" t="s">
        <v>187</v>
      </c>
      <c r="J325" s="376" t="s">
        <v>187</v>
      </c>
      <c r="K325" s="377" t="s">
        <v>187</v>
      </c>
    </row>
    <row r="326" spans="2:11" ht="15.5">
      <c r="B326" s="380" t="s">
        <v>455</v>
      </c>
      <c r="C326" s="382">
        <v>11.1</v>
      </c>
      <c r="D326" s="383">
        <v>5.5</v>
      </c>
      <c r="E326" s="382">
        <v>5.6</v>
      </c>
      <c r="F326" s="382">
        <v>11.1</v>
      </c>
      <c r="G326" s="383">
        <v>5.5</v>
      </c>
      <c r="H326" s="382">
        <v>5.6</v>
      </c>
      <c r="I326" s="376" t="s">
        <v>187</v>
      </c>
      <c r="J326" s="376" t="s">
        <v>187</v>
      </c>
      <c r="K326" s="377" t="s">
        <v>187</v>
      </c>
    </row>
    <row r="327" spans="2:11" ht="15.5">
      <c r="B327" s="380"/>
      <c r="C327" s="392"/>
      <c r="D327" s="392"/>
      <c r="E327" s="392"/>
      <c r="F327" s="392"/>
      <c r="G327" s="392"/>
      <c r="H327" s="392"/>
      <c r="I327" s="392"/>
      <c r="J327" s="392"/>
      <c r="K327" s="393"/>
    </row>
    <row r="328" spans="2:11" ht="15">
      <c r="B328" s="372" t="s">
        <v>456</v>
      </c>
      <c r="C328" s="381">
        <v>56.9</v>
      </c>
      <c r="D328" s="381">
        <v>27.7</v>
      </c>
      <c r="E328" s="381">
        <v>29.2</v>
      </c>
      <c r="F328" s="381">
        <v>14.4</v>
      </c>
      <c r="G328" s="381">
        <v>6.8</v>
      </c>
      <c r="H328" s="381">
        <v>7.6000000000000005</v>
      </c>
      <c r="I328" s="381">
        <v>42.5</v>
      </c>
      <c r="J328" s="381">
        <v>20.9</v>
      </c>
      <c r="K328" s="388">
        <v>21.6</v>
      </c>
    </row>
    <row r="329" spans="2:11" ht="15.5">
      <c r="B329" s="380" t="s">
        <v>457</v>
      </c>
      <c r="C329" s="382">
        <v>14.4</v>
      </c>
      <c r="D329" s="383">
        <v>6.8</v>
      </c>
      <c r="E329" s="382">
        <v>7.6000000000000005</v>
      </c>
      <c r="F329" s="382">
        <v>14.4</v>
      </c>
      <c r="G329" s="383">
        <v>6.8</v>
      </c>
      <c r="H329" s="382">
        <v>7.6000000000000005</v>
      </c>
      <c r="I329" s="376" t="s">
        <v>187</v>
      </c>
      <c r="J329" s="376" t="s">
        <v>187</v>
      </c>
      <c r="K329" s="377" t="s">
        <v>187</v>
      </c>
    </row>
    <row r="330" spans="2:11" ht="15.5">
      <c r="B330" s="380"/>
      <c r="C330" s="392"/>
      <c r="D330" s="392"/>
      <c r="E330" s="392"/>
      <c r="F330" s="392"/>
      <c r="G330" s="392"/>
      <c r="H330" s="392"/>
      <c r="I330" s="392"/>
      <c r="J330" s="392"/>
      <c r="K330" s="408" t="s">
        <v>187</v>
      </c>
    </row>
    <row r="331" spans="2:11" ht="15">
      <c r="B331" s="372" t="s">
        <v>458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458</v>
      </c>
      <c r="C332" s="382">
        <v>65.3</v>
      </c>
      <c r="D332" s="383">
        <v>31.8</v>
      </c>
      <c r="E332" s="382">
        <v>33.5</v>
      </c>
      <c r="F332" s="382">
        <v>65.3</v>
      </c>
      <c r="G332" s="383">
        <v>31.8</v>
      </c>
      <c r="H332" s="382">
        <v>33.5</v>
      </c>
      <c r="I332" s="376" t="s">
        <v>187</v>
      </c>
      <c r="J332" s="376" t="s">
        <v>187</v>
      </c>
      <c r="K332" s="377" t="s">
        <v>187</v>
      </c>
    </row>
    <row r="333" spans="2:11" ht="15.5">
      <c r="B333" s="380" t="s">
        <v>459</v>
      </c>
      <c r="C333" s="382">
        <v>2.2000000000000002</v>
      </c>
      <c r="D333" s="383">
        <v>1.1000000000000001</v>
      </c>
      <c r="E333" s="382">
        <v>1.1000000000000001</v>
      </c>
      <c r="F333" s="382">
        <v>2.2000000000000002</v>
      </c>
      <c r="G333" s="383">
        <v>1.1000000000000001</v>
      </c>
      <c r="H333" s="382">
        <v>1.1000000000000001</v>
      </c>
      <c r="I333" s="376" t="s">
        <v>187</v>
      </c>
      <c r="J333" s="376" t="s">
        <v>187</v>
      </c>
      <c r="K333" s="377" t="s">
        <v>187</v>
      </c>
    </row>
    <row r="334" spans="2:11" ht="15.5">
      <c r="B334" s="380" t="s">
        <v>460</v>
      </c>
      <c r="C334" s="382">
        <v>0.3</v>
      </c>
      <c r="D334" s="383">
        <v>0.2</v>
      </c>
      <c r="E334" s="382">
        <v>9.9999999999999978E-2</v>
      </c>
      <c r="F334" s="382">
        <v>0.3</v>
      </c>
      <c r="G334" s="383">
        <v>0.2</v>
      </c>
      <c r="H334" s="382">
        <v>9.9999999999999978E-2</v>
      </c>
      <c r="I334" s="376" t="s">
        <v>187</v>
      </c>
      <c r="J334" s="376" t="s">
        <v>187</v>
      </c>
      <c r="K334" s="377" t="s">
        <v>187</v>
      </c>
    </row>
    <row r="335" spans="2:11" ht="15.5">
      <c r="B335" s="380"/>
      <c r="C335" s="385"/>
      <c r="D335" s="385"/>
      <c r="E335" s="385"/>
      <c r="F335" s="385"/>
      <c r="G335" s="385"/>
      <c r="H335" s="385"/>
      <c r="I335" s="385"/>
      <c r="J335" s="385"/>
      <c r="K335" s="394"/>
    </row>
    <row r="336" spans="2:11" ht="15">
      <c r="B336" s="372" t="s">
        <v>461</v>
      </c>
      <c r="C336" s="381">
        <v>44.3</v>
      </c>
      <c r="D336" s="381">
        <v>22.4</v>
      </c>
      <c r="E336" s="381">
        <v>21.9</v>
      </c>
      <c r="F336" s="381">
        <v>7.4</v>
      </c>
      <c r="G336" s="381">
        <v>3.7</v>
      </c>
      <c r="H336" s="381">
        <v>3.7</v>
      </c>
      <c r="I336" s="381">
        <v>36.9</v>
      </c>
      <c r="J336" s="381">
        <v>18.7</v>
      </c>
      <c r="K336" s="388">
        <v>18.2</v>
      </c>
    </row>
    <row r="337" spans="1:11" ht="15.5">
      <c r="B337" s="380" t="s">
        <v>462</v>
      </c>
      <c r="C337" s="382">
        <v>7.4</v>
      </c>
      <c r="D337" s="383">
        <v>3.7</v>
      </c>
      <c r="E337" s="382">
        <v>3.7</v>
      </c>
      <c r="F337" s="382">
        <v>7.4</v>
      </c>
      <c r="G337" s="383">
        <v>3.7</v>
      </c>
      <c r="H337" s="382">
        <v>3.7</v>
      </c>
      <c r="I337" s="376" t="s">
        <v>187</v>
      </c>
      <c r="J337" s="376" t="s">
        <v>187</v>
      </c>
      <c r="K337" s="377" t="s">
        <v>187</v>
      </c>
    </row>
    <row r="338" spans="1:11" ht="15.5">
      <c r="B338" s="380"/>
      <c r="C338" s="409"/>
      <c r="D338" s="409"/>
      <c r="E338" s="409"/>
      <c r="F338" s="409"/>
      <c r="G338" s="409"/>
      <c r="H338" s="409"/>
      <c r="I338" s="409"/>
      <c r="J338" s="409"/>
      <c r="K338" s="410"/>
    </row>
    <row r="339" spans="1:11" ht="15">
      <c r="B339" s="372" t="s">
        <v>463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464</v>
      </c>
      <c r="C340" s="382">
        <v>14</v>
      </c>
      <c r="D340" s="383">
        <v>6.9</v>
      </c>
      <c r="E340" s="382">
        <v>7.1</v>
      </c>
      <c r="F340" s="382">
        <v>14</v>
      </c>
      <c r="G340" s="383">
        <v>6.9</v>
      </c>
      <c r="H340" s="382">
        <v>7.1</v>
      </c>
      <c r="I340" s="376" t="s">
        <v>187</v>
      </c>
      <c r="J340" s="376" t="s">
        <v>187</v>
      </c>
      <c r="K340" s="377" t="s">
        <v>187</v>
      </c>
    </row>
    <row r="341" spans="1:11" ht="15.5">
      <c r="B341" s="380" t="s">
        <v>465</v>
      </c>
      <c r="C341" s="382">
        <v>5.8</v>
      </c>
      <c r="D341" s="383">
        <v>3.1</v>
      </c>
      <c r="E341" s="382">
        <v>2.6999999999999997</v>
      </c>
      <c r="F341" s="382">
        <v>5.8</v>
      </c>
      <c r="G341" s="383">
        <v>3.1</v>
      </c>
      <c r="H341" s="382">
        <v>2.6999999999999997</v>
      </c>
      <c r="I341" s="376" t="s">
        <v>187</v>
      </c>
      <c r="J341" s="376" t="s">
        <v>187</v>
      </c>
      <c r="K341" s="377" t="s">
        <v>187</v>
      </c>
    </row>
    <row r="342" spans="1:11" ht="15.5">
      <c r="B342" s="380" t="s">
        <v>466</v>
      </c>
      <c r="C342" s="382">
        <v>6.2</v>
      </c>
      <c r="D342" s="383">
        <v>3.1</v>
      </c>
      <c r="E342" s="382">
        <v>3.1</v>
      </c>
      <c r="F342" s="382">
        <v>6.2</v>
      </c>
      <c r="G342" s="383">
        <v>3.1</v>
      </c>
      <c r="H342" s="382">
        <v>3.1</v>
      </c>
      <c r="I342" s="376" t="s">
        <v>187</v>
      </c>
      <c r="J342" s="376" t="s">
        <v>187</v>
      </c>
      <c r="K342" s="377" t="s">
        <v>187</v>
      </c>
    </row>
    <row r="343" spans="1:11" ht="15.5">
      <c r="B343" s="380" t="s">
        <v>467</v>
      </c>
      <c r="C343" s="382">
        <v>10.199999999999999</v>
      </c>
      <c r="D343" s="383">
        <v>5.0999999999999996</v>
      </c>
      <c r="E343" s="382">
        <v>5.0999999999999996</v>
      </c>
      <c r="F343" s="382">
        <v>10.199999999999999</v>
      </c>
      <c r="G343" s="383">
        <v>5.0999999999999996</v>
      </c>
      <c r="H343" s="382">
        <v>5.0999999999999996</v>
      </c>
      <c r="I343" s="376" t="s">
        <v>187</v>
      </c>
      <c r="J343" s="376" t="s">
        <v>187</v>
      </c>
      <c r="K343" s="377" t="s">
        <v>187</v>
      </c>
    </row>
    <row r="344" spans="1:11" ht="15.5">
      <c r="B344" s="380"/>
      <c r="C344" s="385"/>
      <c r="D344" s="385"/>
      <c r="E344" s="385"/>
      <c r="F344" s="385"/>
      <c r="G344" s="385"/>
      <c r="H344" s="385"/>
      <c r="I344" s="385"/>
      <c r="J344" s="385"/>
      <c r="K344" s="394"/>
    </row>
    <row r="345" spans="1:11" ht="15">
      <c r="A345" t="s">
        <v>956</v>
      </c>
      <c r="B345" s="372" t="s">
        <v>468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281</v>
      </c>
      <c r="C346" s="382"/>
      <c r="D346" s="382"/>
      <c r="E346" s="382"/>
      <c r="F346" s="382"/>
      <c r="G346" s="382"/>
      <c r="H346" s="382"/>
      <c r="I346" s="382"/>
      <c r="J346" s="382"/>
      <c r="K346" s="389"/>
    </row>
    <row r="347" spans="1:11" ht="15">
      <c r="B347" s="372" t="s">
        <v>469</v>
      </c>
      <c r="C347" s="381">
        <v>108.6</v>
      </c>
      <c r="D347" s="381">
        <v>54.6</v>
      </c>
      <c r="E347" s="381">
        <v>53.999999999999993</v>
      </c>
      <c r="F347" s="381">
        <v>33.6</v>
      </c>
      <c r="G347" s="381">
        <v>16.600000000000001</v>
      </c>
      <c r="H347" s="381">
        <v>17</v>
      </c>
      <c r="I347" s="381">
        <v>75</v>
      </c>
      <c r="J347" s="381">
        <v>38</v>
      </c>
      <c r="K347" s="388">
        <v>37</v>
      </c>
    </row>
    <row r="348" spans="1:11" ht="15.5">
      <c r="B348" s="380" t="s">
        <v>470</v>
      </c>
      <c r="C348" s="382">
        <v>17.5</v>
      </c>
      <c r="D348" s="383">
        <v>8.6</v>
      </c>
      <c r="E348" s="382">
        <v>8.9</v>
      </c>
      <c r="F348" s="382">
        <v>17.5</v>
      </c>
      <c r="G348" s="383">
        <v>8.6</v>
      </c>
      <c r="H348" s="382">
        <v>8.9</v>
      </c>
      <c r="I348" s="376" t="s">
        <v>187</v>
      </c>
      <c r="J348" s="376" t="s">
        <v>187</v>
      </c>
      <c r="K348" s="377" t="s">
        <v>187</v>
      </c>
    </row>
    <row r="349" spans="1:11" ht="15.5">
      <c r="B349" s="380" t="s">
        <v>471</v>
      </c>
      <c r="C349" s="382">
        <v>6.4</v>
      </c>
      <c r="D349" s="383">
        <v>3.1</v>
      </c>
      <c r="E349" s="382">
        <v>3.3000000000000003</v>
      </c>
      <c r="F349" s="382">
        <v>6.4</v>
      </c>
      <c r="G349" s="383">
        <v>3.1</v>
      </c>
      <c r="H349" s="382">
        <v>3.3000000000000003</v>
      </c>
      <c r="I349" s="376" t="s">
        <v>187</v>
      </c>
      <c r="J349" s="376" t="s">
        <v>187</v>
      </c>
      <c r="K349" s="377" t="s">
        <v>187</v>
      </c>
    </row>
    <row r="350" spans="1:11" ht="15.5">
      <c r="B350" s="380" t="s">
        <v>472</v>
      </c>
      <c r="C350" s="382">
        <v>9.6999999999999993</v>
      </c>
      <c r="D350" s="383">
        <v>4.9000000000000004</v>
      </c>
      <c r="E350" s="382">
        <v>4.7999999999999989</v>
      </c>
      <c r="F350" s="382">
        <v>9.6999999999999993</v>
      </c>
      <c r="G350" s="383">
        <v>4.9000000000000004</v>
      </c>
      <c r="H350" s="382">
        <v>4.7999999999999989</v>
      </c>
      <c r="I350" s="376" t="s">
        <v>187</v>
      </c>
      <c r="J350" s="376" t="s">
        <v>187</v>
      </c>
      <c r="K350" s="377" t="s">
        <v>187</v>
      </c>
    </row>
    <row r="351" spans="1:11" ht="15.5">
      <c r="B351" s="380"/>
      <c r="C351" s="404"/>
      <c r="D351" s="404"/>
      <c r="E351" s="404"/>
      <c r="F351" s="404"/>
      <c r="G351" s="404"/>
      <c r="H351" s="404"/>
      <c r="I351" s="404"/>
      <c r="J351" s="404"/>
      <c r="K351" s="405"/>
    </row>
    <row r="352" spans="1:11" ht="15">
      <c r="B352" s="372" t="s">
        <v>473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473</v>
      </c>
      <c r="C353" s="382">
        <v>52.6</v>
      </c>
      <c r="D353" s="383">
        <v>25.7</v>
      </c>
      <c r="E353" s="382">
        <v>26.900000000000002</v>
      </c>
      <c r="F353" s="382">
        <v>52.6</v>
      </c>
      <c r="G353" s="383">
        <v>25.7</v>
      </c>
      <c r="H353" s="382">
        <v>26.900000000000002</v>
      </c>
      <c r="I353" s="376" t="s">
        <v>187</v>
      </c>
      <c r="J353" s="376" t="s">
        <v>187</v>
      </c>
      <c r="K353" s="377" t="s">
        <v>187</v>
      </c>
    </row>
    <row r="354" spans="2:11" ht="15.5">
      <c r="B354" s="380" t="s">
        <v>474</v>
      </c>
      <c r="C354" s="382">
        <v>11.5</v>
      </c>
      <c r="D354" s="383">
        <v>5.7</v>
      </c>
      <c r="E354" s="382">
        <v>5.8</v>
      </c>
      <c r="F354" s="382">
        <v>11.5</v>
      </c>
      <c r="G354" s="383">
        <v>5.7</v>
      </c>
      <c r="H354" s="382">
        <v>5.8</v>
      </c>
      <c r="I354" s="376" t="s">
        <v>187</v>
      </c>
      <c r="J354" s="376" t="s">
        <v>187</v>
      </c>
      <c r="K354" s="377" t="s">
        <v>187</v>
      </c>
    </row>
    <row r="355" spans="2:11" ht="15.5">
      <c r="B355" s="380" t="s">
        <v>475</v>
      </c>
      <c r="C355" s="382">
        <v>1.9</v>
      </c>
      <c r="D355" s="383">
        <v>0.9</v>
      </c>
      <c r="E355" s="382">
        <v>0.99999999999999989</v>
      </c>
      <c r="F355" s="382">
        <v>1.9</v>
      </c>
      <c r="G355" s="383">
        <v>0.9</v>
      </c>
      <c r="H355" s="382">
        <v>0.99999999999999989</v>
      </c>
      <c r="I355" s="376" t="s">
        <v>187</v>
      </c>
      <c r="J355" s="376" t="s">
        <v>187</v>
      </c>
      <c r="K355" s="377" t="s">
        <v>187</v>
      </c>
    </row>
    <row r="356" spans="2:11" ht="15.5">
      <c r="B356" s="380" t="s">
        <v>476</v>
      </c>
      <c r="C356" s="382">
        <v>3.2</v>
      </c>
      <c r="D356" s="383">
        <v>1.6</v>
      </c>
      <c r="E356" s="382">
        <v>1.6</v>
      </c>
      <c r="F356" s="382">
        <v>3.2</v>
      </c>
      <c r="G356" s="383">
        <v>1.6</v>
      </c>
      <c r="H356" s="382">
        <v>1.6</v>
      </c>
      <c r="I356" s="376" t="s">
        <v>187</v>
      </c>
      <c r="J356" s="376" t="s">
        <v>187</v>
      </c>
      <c r="K356" s="377" t="s">
        <v>187</v>
      </c>
    </row>
    <row r="357" spans="2:11" ht="15.5">
      <c r="B357" s="380" t="s">
        <v>477</v>
      </c>
      <c r="C357" s="382">
        <v>2.2999999999999998</v>
      </c>
      <c r="D357" s="383">
        <v>1.1000000000000001</v>
      </c>
      <c r="E357" s="382">
        <v>1.1999999999999997</v>
      </c>
      <c r="F357" s="382">
        <v>2.2999999999999998</v>
      </c>
      <c r="G357" s="383">
        <v>1.1000000000000001</v>
      </c>
      <c r="H357" s="382">
        <v>1.1999999999999997</v>
      </c>
      <c r="I357" s="376" t="s">
        <v>187</v>
      </c>
      <c r="J357" s="376" t="s">
        <v>187</v>
      </c>
      <c r="K357" s="377" t="s">
        <v>187</v>
      </c>
    </row>
    <row r="358" spans="2:11" ht="15.5">
      <c r="B358" s="380" t="s">
        <v>478</v>
      </c>
      <c r="C358" s="382">
        <v>4.5</v>
      </c>
      <c r="D358" s="383">
        <v>2.2999999999999998</v>
      </c>
      <c r="E358" s="382">
        <v>2.2000000000000002</v>
      </c>
      <c r="F358" s="382">
        <v>4.5</v>
      </c>
      <c r="G358" s="383">
        <v>2.2999999999999998</v>
      </c>
      <c r="H358" s="382">
        <v>2.2000000000000002</v>
      </c>
      <c r="I358" s="376" t="s">
        <v>187</v>
      </c>
      <c r="J358" s="376" t="s">
        <v>187</v>
      </c>
      <c r="K358" s="377" t="s">
        <v>187</v>
      </c>
    </row>
    <row r="359" spans="2:11" ht="15.5">
      <c r="B359" s="380" t="s">
        <v>479</v>
      </c>
      <c r="C359" s="382">
        <v>5.0999999999999996</v>
      </c>
      <c r="D359" s="383">
        <v>2.5</v>
      </c>
      <c r="E359" s="382">
        <v>2.5999999999999996</v>
      </c>
      <c r="F359" s="382">
        <v>5.0999999999999996</v>
      </c>
      <c r="G359" s="383">
        <v>2.5</v>
      </c>
      <c r="H359" s="382">
        <v>2.5999999999999996</v>
      </c>
      <c r="I359" s="376" t="s">
        <v>187</v>
      </c>
      <c r="J359" s="376" t="s">
        <v>187</v>
      </c>
      <c r="K359" s="377" t="s">
        <v>187</v>
      </c>
    </row>
    <row r="360" spans="2:11" ht="15.5">
      <c r="B360" s="380" t="s">
        <v>480</v>
      </c>
      <c r="C360" s="382">
        <v>2.5</v>
      </c>
      <c r="D360" s="383">
        <v>1.3</v>
      </c>
      <c r="E360" s="382">
        <v>1.2</v>
      </c>
      <c r="F360" s="382">
        <v>2.5</v>
      </c>
      <c r="G360" s="383">
        <v>1.3</v>
      </c>
      <c r="H360" s="382">
        <v>1.2</v>
      </c>
      <c r="I360" s="376" t="s">
        <v>187</v>
      </c>
      <c r="J360" s="376" t="s">
        <v>187</v>
      </c>
      <c r="K360" s="377" t="s">
        <v>187</v>
      </c>
    </row>
    <row r="361" spans="2:11" ht="15.5">
      <c r="B361" s="380" t="s">
        <v>481</v>
      </c>
      <c r="C361" s="382">
        <v>1.3</v>
      </c>
      <c r="D361" s="383">
        <v>0.7</v>
      </c>
      <c r="E361" s="382">
        <v>0.60000000000000009</v>
      </c>
      <c r="F361" s="382">
        <v>1.3</v>
      </c>
      <c r="G361" s="383">
        <v>0.7</v>
      </c>
      <c r="H361" s="382">
        <v>0.60000000000000009</v>
      </c>
      <c r="I361" s="376" t="s">
        <v>187</v>
      </c>
      <c r="J361" s="376" t="s">
        <v>187</v>
      </c>
      <c r="K361" s="377" t="s">
        <v>187</v>
      </c>
    </row>
    <row r="362" spans="2:11" ht="15.5">
      <c r="B362" s="380" t="s">
        <v>482</v>
      </c>
      <c r="C362" s="382">
        <v>3.7</v>
      </c>
      <c r="D362" s="383">
        <v>1.8</v>
      </c>
      <c r="E362" s="382">
        <v>1.9000000000000001</v>
      </c>
      <c r="F362" s="382">
        <v>3.7</v>
      </c>
      <c r="G362" s="383">
        <v>1.8</v>
      </c>
      <c r="H362" s="382">
        <v>1.9000000000000001</v>
      </c>
      <c r="I362" s="376" t="s">
        <v>187</v>
      </c>
      <c r="J362" s="376" t="s">
        <v>187</v>
      </c>
      <c r="K362" s="377" t="s">
        <v>187</v>
      </c>
    </row>
    <row r="363" spans="2:11" ht="15.5">
      <c r="B363" s="380"/>
      <c r="C363" s="404"/>
      <c r="D363" s="404"/>
      <c r="E363" s="404"/>
      <c r="F363" s="404"/>
      <c r="G363" s="404"/>
      <c r="H363" s="404"/>
      <c r="I363" s="404"/>
      <c r="J363" s="404"/>
      <c r="K363" s="405"/>
    </row>
    <row r="364" spans="2:11" ht="15">
      <c r="B364" s="372" t="s">
        <v>483</v>
      </c>
      <c r="C364" s="381">
        <v>84.7</v>
      </c>
      <c r="D364" s="381">
        <v>42.9</v>
      </c>
      <c r="E364" s="381">
        <v>41.800000000000004</v>
      </c>
      <c r="F364" s="381">
        <v>8.5</v>
      </c>
      <c r="G364" s="381">
        <v>4.3</v>
      </c>
      <c r="H364" s="381">
        <v>4.2</v>
      </c>
      <c r="I364" s="381">
        <v>76.2</v>
      </c>
      <c r="J364" s="381">
        <v>38.6</v>
      </c>
      <c r="K364" s="388">
        <v>37.6</v>
      </c>
    </row>
    <row r="365" spans="2:11" ht="15.5">
      <c r="B365" s="380" t="s">
        <v>484</v>
      </c>
      <c r="C365" s="382">
        <v>8.5</v>
      </c>
      <c r="D365" s="383">
        <v>4.3</v>
      </c>
      <c r="E365" s="382">
        <v>4.2</v>
      </c>
      <c r="F365" s="382">
        <v>8.5</v>
      </c>
      <c r="G365" s="383">
        <v>4.3</v>
      </c>
      <c r="H365" s="382">
        <v>4.2</v>
      </c>
      <c r="I365" s="376" t="s">
        <v>187</v>
      </c>
      <c r="J365" s="376" t="s">
        <v>187</v>
      </c>
      <c r="K365" s="377" t="s">
        <v>187</v>
      </c>
    </row>
    <row r="366" spans="2:11" ht="15.5">
      <c r="B366" s="380"/>
      <c r="C366" s="392"/>
      <c r="D366" s="392"/>
      <c r="E366" s="392"/>
      <c r="F366" s="392"/>
      <c r="G366" s="392"/>
      <c r="H366" s="392"/>
      <c r="I366" s="392"/>
      <c r="J366" s="392"/>
      <c r="K366" s="393"/>
    </row>
    <row r="367" spans="2:11" ht="15">
      <c r="B367" s="372" t="s">
        <v>485</v>
      </c>
      <c r="C367" s="381">
        <v>67</v>
      </c>
      <c r="D367" s="381">
        <v>34.299999999999997</v>
      </c>
      <c r="E367" s="381">
        <v>32.700000000000003</v>
      </c>
      <c r="F367" s="381">
        <v>7.5</v>
      </c>
      <c r="G367" s="381">
        <v>3.9</v>
      </c>
      <c r="H367" s="381">
        <v>3.6</v>
      </c>
      <c r="I367" s="381">
        <v>59.5</v>
      </c>
      <c r="J367" s="381">
        <v>30.4</v>
      </c>
      <c r="K367" s="388">
        <v>29.1</v>
      </c>
    </row>
    <row r="368" spans="2:11" ht="15.5">
      <c r="B368" s="380" t="s">
        <v>486</v>
      </c>
      <c r="C368" s="382">
        <v>7.5</v>
      </c>
      <c r="D368" s="383">
        <v>3.9</v>
      </c>
      <c r="E368" s="382">
        <v>3.6</v>
      </c>
      <c r="F368" s="382">
        <v>7.5</v>
      </c>
      <c r="G368" s="383">
        <v>3.9</v>
      </c>
      <c r="H368" s="382">
        <v>3.6</v>
      </c>
      <c r="I368" s="376" t="s">
        <v>187</v>
      </c>
      <c r="J368" s="376" t="s">
        <v>187</v>
      </c>
      <c r="K368" s="377" t="s">
        <v>187</v>
      </c>
    </row>
    <row r="369" spans="1:11" ht="15.5">
      <c r="B369" s="380"/>
      <c r="C369" s="392"/>
      <c r="D369" s="392"/>
      <c r="E369" s="392"/>
      <c r="F369" s="392"/>
      <c r="G369" s="392"/>
      <c r="H369" s="392"/>
      <c r="I369" s="392"/>
      <c r="J369" s="392"/>
      <c r="K369" s="393"/>
    </row>
    <row r="370" spans="1:11" ht="15">
      <c r="B370" s="372" t="s">
        <v>487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488</v>
      </c>
      <c r="C371" s="382">
        <v>26.3</v>
      </c>
      <c r="D371" s="383">
        <v>13.4</v>
      </c>
      <c r="E371" s="382">
        <v>12.9</v>
      </c>
      <c r="F371" s="382">
        <v>26.3</v>
      </c>
      <c r="G371" s="383">
        <v>13.4</v>
      </c>
      <c r="H371" s="382">
        <v>12.9</v>
      </c>
      <c r="I371" s="376" t="s">
        <v>187</v>
      </c>
      <c r="J371" s="376" t="s">
        <v>187</v>
      </c>
      <c r="K371" s="377" t="s">
        <v>187</v>
      </c>
    </row>
    <row r="372" spans="1:11" ht="15.5">
      <c r="B372" s="380" t="s">
        <v>489</v>
      </c>
      <c r="C372" s="382">
        <v>7</v>
      </c>
      <c r="D372" s="383">
        <v>3.6</v>
      </c>
      <c r="E372" s="382">
        <v>3.4</v>
      </c>
      <c r="F372" s="382">
        <v>7</v>
      </c>
      <c r="G372" s="383">
        <v>3.6</v>
      </c>
      <c r="H372" s="382">
        <v>3.4</v>
      </c>
      <c r="I372" s="376" t="s">
        <v>187</v>
      </c>
      <c r="J372" s="376" t="s">
        <v>187</v>
      </c>
      <c r="K372" s="377" t="s">
        <v>187</v>
      </c>
    </row>
    <row r="373" spans="1:11" ht="15.5">
      <c r="B373" s="380" t="s">
        <v>490</v>
      </c>
      <c r="C373" s="382">
        <v>17.8</v>
      </c>
      <c r="D373" s="383">
        <v>9.3000000000000007</v>
      </c>
      <c r="E373" s="382">
        <v>8.5</v>
      </c>
      <c r="F373" s="382">
        <v>17.8</v>
      </c>
      <c r="G373" s="383">
        <v>9.3000000000000007</v>
      </c>
      <c r="H373" s="382">
        <v>8.5</v>
      </c>
      <c r="I373" s="376" t="s">
        <v>187</v>
      </c>
      <c r="J373" s="376" t="s">
        <v>187</v>
      </c>
      <c r="K373" s="377" t="s">
        <v>187</v>
      </c>
    </row>
    <row r="374" spans="1:11" ht="15.5">
      <c r="B374" s="380"/>
      <c r="C374" s="385"/>
      <c r="D374" s="385"/>
      <c r="E374" s="385"/>
      <c r="F374" s="385"/>
      <c r="G374" s="385"/>
      <c r="H374" s="385"/>
      <c r="I374" s="385"/>
      <c r="J374" s="385"/>
      <c r="K374" s="394"/>
    </row>
    <row r="375" spans="1:11" ht="15">
      <c r="B375" s="372" t="s">
        <v>491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492</v>
      </c>
      <c r="C376" s="382">
        <v>46.7</v>
      </c>
      <c r="D376" s="383">
        <v>23.4</v>
      </c>
      <c r="E376" s="382">
        <v>23.300000000000004</v>
      </c>
      <c r="F376" s="382">
        <v>46.7</v>
      </c>
      <c r="G376" s="383">
        <v>23.4</v>
      </c>
      <c r="H376" s="382">
        <v>23.300000000000004</v>
      </c>
      <c r="I376" s="376" t="s">
        <v>187</v>
      </c>
      <c r="J376" s="376" t="s">
        <v>187</v>
      </c>
      <c r="K376" s="377" t="s">
        <v>187</v>
      </c>
    </row>
    <row r="377" spans="1:11" ht="15.5">
      <c r="B377" s="380" t="s">
        <v>493</v>
      </c>
      <c r="C377" s="382">
        <v>15.3</v>
      </c>
      <c r="D377" s="383">
        <v>7.7</v>
      </c>
      <c r="E377" s="382">
        <v>7.6000000000000005</v>
      </c>
      <c r="F377" s="382">
        <v>15.3</v>
      </c>
      <c r="G377" s="383">
        <v>7.7</v>
      </c>
      <c r="H377" s="382">
        <v>7.6000000000000005</v>
      </c>
      <c r="I377" s="376" t="s">
        <v>187</v>
      </c>
      <c r="J377" s="376" t="s">
        <v>187</v>
      </c>
      <c r="K377" s="377" t="s">
        <v>187</v>
      </c>
    </row>
    <row r="378" spans="1:11" ht="15.5">
      <c r="B378" s="380" t="s">
        <v>494</v>
      </c>
      <c r="C378" s="382" t="s">
        <v>187</v>
      </c>
      <c r="D378" s="382" t="s">
        <v>187</v>
      </c>
      <c r="E378" s="382" t="s">
        <v>187</v>
      </c>
      <c r="F378" s="382" t="s">
        <v>187</v>
      </c>
      <c r="G378" s="382" t="s">
        <v>187</v>
      </c>
      <c r="H378" s="382" t="s">
        <v>187</v>
      </c>
      <c r="I378" s="376" t="s">
        <v>187</v>
      </c>
      <c r="J378" s="376" t="s">
        <v>187</v>
      </c>
      <c r="K378" s="377" t="s">
        <v>187</v>
      </c>
    </row>
    <row r="379" spans="1:11" ht="15.5">
      <c r="B379" s="380"/>
      <c r="C379" s="385"/>
      <c r="D379" s="385"/>
      <c r="E379" s="385"/>
      <c r="F379" s="385"/>
      <c r="G379" s="385"/>
      <c r="H379" s="385"/>
      <c r="I379" s="385"/>
      <c r="J379" s="385"/>
      <c r="K379" s="394"/>
    </row>
    <row r="380" spans="1:11" ht="15">
      <c r="A380" t="s">
        <v>956</v>
      </c>
      <c r="B380" s="372" t="s">
        <v>495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281</v>
      </c>
      <c r="C381" s="406"/>
      <c r="D381" s="406"/>
      <c r="E381" s="406"/>
      <c r="F381" s="406"/>
      <c r="G381" s="406"/>
      <c r="H381" s="406"/>
      <c r="I381" s="406"/>
      <c r="J381" s="406"/>
      <c r="K381" s="407"/>
    </row>
    <row r="382" spans="1:11" ht="15">
      <c r="B382" s="372" t="s">
        <v>496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497</v>
      </c>
      <c r="C383" s="382">
        <v>18.399999999999999</v>
      </c>
      <c r="D383" s="383">
        <v>9</v>
      </c>
      <c r="E383" s="382">
        <v>9.3999999999999986</v>
      </c>
      <c r="F383" s="382">
        <v>18.399999999999999</v>
      </c>
      <c r="G383" s="383">
        <v>9</v>
      </c>
      <c r="H383" s="382">
        <v>9.3999999999999986</v>
      </c>
      <c r="I383" s="376" t="s">
        <v>187</v>
      </c>
      <c r="J383" s="376" t="s">
        <v>187</v>
      </c>
      <c r="K383" s="377" t="s">
        <v>187</v>
      </c>
    </row>
    <row r="384" spans="1:11" ht="15.5">
      <c r="B384" s="380" t="s">
        <v>498</v>
      </c>
      <c r="C384" s="382">
        <v>2.2999999999999998</v>
      </c>
      <c r="D384" s="383">
        <v>1.2</v>
      </c>
      <c r="E384" s="382">
        <v>1.0999999999999999</v>
      </c>
      <c r="F384" s="382">
        <v>2.2999999999999998</v>
      </c>
      <c r="G384" s="383">
        <v>1.2</v>
      </c>
      <c r="H384" s="382">
        <v>1.0999999999999999</v>
      </c>
      <c r="I384" s="376" t="s">
        <v>187</v>
      </c>
      <c r="J384" s="376" t="s">
        <v>187</v>
      </c>
      <c r="K384" s="377" t="s">
        <v>187</v>
      </c>
    </row>
    <row r="385" spans="2:11" ht="15.5">
      <c r="B385" s="380"/>
      <c r="C385" s="404"/>
      <c r="D385" s="404"/>
      <c r="E385" s="404"/>
      <c r="F385" s="404"/>
      <c r="G385" s="404"/>
      <c r="H385" s="404"/>
      <c r="I385" s="404"/>
      <c r="J385" s="404"/>
      <c r="K385" s="405"/>
    </row>
    <row r="386" spans="2:11" ht="15">
      <c r="B386" s="372" t="s">
        <v>499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500</v>
      </c>
      <c r="C387" s="382">
        <v>42.4</v>
      </c>
      <c r="D387" s="383">
        <v>20.8</v>
      </c>
      <c r="E387" s="382">
        <v>21.599999999999998</v>
      </c>
      <c r="F387" s="382">
        <v>42.4</v>
      </c>
      <c r="G387" s="383">
        <v>20.8</v>
      </c>
      <c r="H387" s="382">
        <v>21.599999999999998</v>
      </c>
      <c r="I387" s="376" t="s">
        <v>187</v>
      </c>
      <c r="J387" s="376" t="s">
        <v>187</v>
      </c>
      <c r="K387" s="377" t="s">
        <v>187</v>
      </c>
    </row>
    <row r="388" spans="2:11" ht="15.5">
      <c r="B388" s="380" t="s">
        <v>501</v>
      </c>
      <c r="C388" s="382">
        <v>16.8</v>
      </c>
      <c r="D388" s="383">
        <v>8.3000000000000007</v>
      </c>
      <c r="E388" s="382">
        <v>8.5</v>
      </c>
      <c r="F388" s="382">
        <v>16.8</v>
      </c>
      <c r="G388" s="383">
        <v>8.3000000000000007</v>
      </c>
      <c r="H388" s="382">
        <v>8.5</v>
      </c>
      <c r="I388" s="376" t="s">
        <v>187</v>
      </c>
      <c r="J388" s="376" t="s">
        <v>187</v>
      </c>
      <c r="K388" s="377" t="s">
        <v>187</v>
      </c>
    </row>
    <row r="389" spans="2:11" ht="15.5">
      <c r="B389" s="380" t="s">
        <v>502</v>
      </c>
      <c r="C389" s="382">
        <v>0.2</v>
      </c>
      <c r="D389" s="383">
        <v>0.1</v>
      </c>
      <c r="E389" s="382">
        <v>0.1</v>
      </c>
      <c r="F389" s="382">
        <v>0.2</v>
      </c>
      <c r="G389" s="383">
        <v>0.1</v>
      </c>
      <c r="H389" s="382">
        <v>0.1</v>
      </c>
      <c r="I389" s="376" t="s">
        <v>187</v>
      </c>
      <c r="J389" s="376" t="s">
        <v>187</v>
      </c>
      <c r="K389" s="377" t="s">
        <v>187</v>
      </c>
    </row>
    <row r="390" spans="2:11" ht="15.5">
      <c r="B390" s="380" t="s">
        <v>503</v>
      </c>
      <c r="C390" s="382">
        <v>2.2000000000000002</v>
      </c>
      <c r="D390" s="383">
        <v>1</v>
      </c>
      <c r="E390" s="382">
        <v>1.2000000000000002</v>
      </c>
      <c r="F390" s="382">
        <v>2.2000000000000002</v>
      </c>
      <c r="G390" s="383">
        <v>1</v>
      </c>
      <c r="H390" s="382">
        <v>1.2000000000000002</v>
      </c>
      <c r="I390" s="376" t="s">
        <v>187</v>
      </c>
      <c r="J390" s="376" t="s">
        <v>187</v>
      </c>
      <c r="K390" s="377" t="s">
        <v>187</v>
      </c>
    </row>
    <row r="391" spans="2:11" ht="15.5">
      <c r="B391" s="380" t="s">
        <v>504</v>
      </c>
      <c r="C391" s="382">
        <v>0.4</v>
      </c>
      <c r="D391" s="383">
        <v>0.2</v>
      </c>
      <c r="E391" s="382">
        <v>0.2</v>
      </c>
      <c r="F391" s="382">
        <v>0.4</v>
      </c>
      <c r="G391" s="383">
        <v>0.2</v>
      </c>
      <c r="H391" s="382">
        <v>0.2</v>
      </c>
      <c r="I391" s="376" t="s">
        <v>187</v>
      </c>
      <c r="J391" s="376" t="s">
        <v>187</v>
      </c>
      <c r="K391" s="377" t="s">
        <v>187</v>
      </c>
    </row>
    <row r="392" spans="2:11" ht="15.5">
      <c r="B392" s="380" t="s">
        <v>505</v>
      </c>
      <c r="C392" s="382">
        <v>0.4</v>
      </c>
      <c r="D392" s="383">
        <v>0.2</v>
      </c>
      <c r="E392" s="382">
        <v>0.2</v>
      </c>
      <c r="F392" s="382">
        <v>0.4</v>
      </c>
      <c r="G392" s="383">
        <v>0.2</v>
      </c>
      <c r="H392" s="382">
        <v>0.2</v>
      </c>
      <c r="I392" s="376" t="s">
        <v>187</v>
      </c>
      <c r="J392" s="376" t="s">
        <v>187</v>
      </c>
      <c r="K392" s="377" t="s">
        <v>187</v>
      </c>
    </row>
    <row r="393" spans="2:11" ht="15.5">
      <c r="B393" s="380" t="s">
        <v>506</v>
      </c>
      <c r="C393" s="382">
        <v>0.2</v>
      </c>
      <c r="D393" s="383">
        <v>0.1</v>
      </c>
      <c r="E393" s="382">
        <v>0.1</v>
      </c>
      <c r="F393" s="382">
        <v>0.2</v>
      </c>
      <c r="G393" s="383">
        <v>0.1</v>
      </c>
      <c r="H393" s="382">
        <v>0.1</v>
      </c>
      <c r="I393" s="376" t="s">
        <v>187</v>
      </c>
      <c r="J393" s="376" t="s">
        <v>187</v>
      </c>
      <c r="K393" s="377" t="s">
        <v>187</v>
      </c>
    </row>
    <row r="394" spans="2:11" ht="15.5">
      <c r="B394" s="380" t="s">
        <v>507</v>
      </c>
      <c r="C394" s="382">
        <v>0.1</v>
      </c>
      <c r="D394" s="383">
        <v>0.1</v>
      </c>
      <c r="E394" s="382">
        <v>0</v>
      </c>
      <c r="F394" s="382">
        <v>0.1</v>
      </c>
      <c r="G394" s="383">
        <v>0.1</v>
      </c>
      <c r="H394" s="382">
        <v>0</v>
      </c>
      <c r="I394" s="376" t="s">
        <v>187</v>
      </c>
      <c r="J394" s="376" t="s">
        <v>187</v>
      </c>
      <c r="K394" s="377" t="s">
        <v>187</v>
      </c>
    </row>
    <row r="395" spans="2:11" ht="15.5">
      <c r="B395" s="380" t="s">
        <v>508</v>
      </c>
      <c r="C395" s="382">
        <v>0.1</v>
      </c>
      <c r="D395" s="383">
        <v>0</v>
      </c>
      <c r="E395" s="382">
        <v>0.1</v>
      </c>
      <c r="F395" s="382">
        <v>0.1</v>
      </c>
      <c r="G395" s="383">
        <v>0</v>
      </c>
      <c r="H395" s="382">
        <v>0.1</v>
      </c>
      <c r="I395" s="376" t="s">
        <v>187</v>
      </c>
      <c r="J395" s="376" t="s">
        <v>187</v>
      </c>
      <c r="K395" s="377" t="s">
        <v>187</v>
      </c>
    </row>
    <row r="396" spans="2:11" ht="15.5">
      <c r="B396" s="380" t="s">
        <v>509</v>
      </c>
      <c r="C396" s="382">
        <v>0</v>
      </c>
      <c r="D396" s="383">
        <v>0</v>
      </c>
      <c r="E396" s="382">
        <v>0</v>
      </c>
      <c r="F396" s="382">
        <v>0</v>
      </c>
      <c r="G396" s="383">
        <v>0</v>
      </c>
      <c r="H396" s="382">
        <v>0</v>
      </c>
      <c r="I396" s="376" t="s">
        <v>187</v>
      </c>
      <c r="J396" s="376" t="s">
        <v>187</v>
      </c>
      <c r="K396" s="377" t="s">
        <v>187</v>
      </c>
    </row>
    <row r="397" spans="2:11" ht="15.5">
      <c r="B397" s="380" t="s">
        <v>510</v>
      </c>
      <c r="C397" s="382">
        <v>0</v>
      </c>
      <c r="D397" s="383">
        <v>0</v>
      </c>
      <c r="E397" s="382">
        <v>0</v>
      </c>
      <c r="F397" s="382">
        <v>0</v>
      </c>
      <c r="G397" s="383">
        <v>0</v>
      </c>
      <c r="H397" s="382">
        <v>0</v>
      </c>
      <c r="I397" s="376" t="s">
        <v>187</v>
      </c>
      <c r="J397" s="376" t="s">
        <v>187</v>
      </c>
      <c r="K397" s="377" t="s">
        <v>187</v>
      </c>
    </row>
    <row r="398" spans="2:11" ht="15.5">
      <c r="B398" s="380" t="s">
        <v>511</v>
      </c>
      <c r="C398" s="382">
        <v>0.1</v>
      </c>
      <c r="D398" s="383">
        <v>0.1</v>
      </c>
      <c r="E398" s="382">
        <v>0</v>
      </c>
      <c r="F398" s="382">
        <v>0.1</v>
      </c>
      <c r="G398" s="383">
        <v>0.1</v>
      </c>
      <c r="H398" s="382">
        <v>0</v>
      </c>
      <c r="I398" s="376" t="s">
        <v>187</v>
      </c>
      <c r="J398" s="376" t="s">
        <v>187</v>
      </c>
      <c r="K398" s="377" t="s">
        <v>187</v>
      </c>
    </row>
    <row r="399" spans="2:11" ht="15.5">
      <c r="B399" s="380" t="s">
        <v>512</v>
      </c>
      <c r="C399" s="382">
        <v>1.4</v>
      </c>
      <c r="D399" s="383">
        <v>0.7</v>
      </c>
      <c r="E399" s="382">
        <v>0.7</v>
      </c>
      <c r="F399" s="382">
        <v>1.4</v>
      </c>
      <c r="G399" s="383">
        <v>0.7</v>
      </c>
      <c r="H399" s="382">
        <v>0.7</v>
      </c>
      <c r="I399" s="376" t="s">
        <v>187</v>
      </c>
      <c r="J399" s="376" t="s">
        <v>187</v>
      </c>
      <c r="K399" s="377" t="s">
        <v>187</v>
      </c>
    </row>
    <row r="400" spans="2:11" ht="15.5">
      <c r="B400" s="380" t="s">
        <v>513</v>
      </c>
      <c r="C400" s="382">
        <v>3.9</v>
      </c>
      <c r="D400" s="383">
        <v>1.9</v>
      </c>
      <c r="E400" s="382">
        <v>2</v>
      </c>
      <c r="F400" s="382">
        <v>3.9</v>
      </c>
      <c r="G400" s="383">
        <v>1.9</v>
      </c>
      <c r="H400" s="382">
        <v>2</v>
      </c>
      <c r="I400" s="376" t="s">
        <v>187</v>
      </c>
      <c r="J400" s="376" t="s">
        <v>187</v>
      </c>
      <c r="K400" s="377" t="s">
        <v>187</v>
      </c>
    </row>
    <row r="401" spans="2:11" ht="15.5">
      <c r="B401" s="380"/>
      <c r="C401" s="404"/>
      <c r="D401" s="404"/>
      <c r="E401" s="404"/>
      <c r="F401" s="404"/>
      <c r="G401" s="404"/>
      <c r="H401" s="404"/>
      <c r="I401" s="404"/>
      <c r="J401" s="404"/>
      <c r="K401" s="405"/>
    </row>
    <row r="402" spans="2:11" ht="15">
      <c r="B402" s="372" t="s">
        <v>514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515</v>
      </c>
      <c r="C403" s="382">
        <v>25</v>
      </c>
      <c r="D403" s="383">
        <v>12.4</v>
      </c>
      <c r="E403" s="382">
        <v>12.6</v>
      </c>
      <c r="F403" s="382">
        <v>25</v>
      </c>
      <c r="G403" s="383">
        <v>12.4</v>
      </c>
      <c r="H403" s="382">
        <v>12.6</v>
      </c>
      <c r="I403" s="376" t="s">
        <v>187</v>
      </c>
      <c r="J403" s="376" t="s">
        <v>187</v>
      </c>
      <c r="K403" s="377" t="s">
        <v>187</v>
      </c>
    </row>
    <row r="404" spans="2:11" ht="15.5">
      <c r="B404" s="380" t="s">
        <v>516</v>
      </c>
      <c r="C404" s="382">
        <v>1.8</v>
      </c>
      <c r="D404" s="383">
        <v>0.9</v>
      </c>
      <c r="E404" s="382">
        <v>0.9</v>
      </c>
      <c r="F404" s="382">
        <v>1.8</v>
      </c>
      <c r="G404" s="383">
        <v>0.9</v>
      </c>
      <c r="H404" s="382">
        <v>0.9</v>
      </c>
      <c r="I404" s="376" t="s">
        <v>187</v>
      </c>
      <c r="J404" s="376" t="s">
        <v>187</v>
      </c>
      <c r="K404" s="377" t="s">
        <v>187</v>
      </c>
    </row>
    <row r="405" spans="2:11" ht="15.5">
      <c r="B405" s="380" t="s">
        <v>517</v>
      </c>
      <c r="C405" s="382">
        <v>3.2</v>
      </c>
      <c r="D405" s="383">
        <v>1.7</v>
      </c>
      <c r="E405" s="382">
        <v>1.5000000000000002</v>
      </c>
      <c r="F405" s="382">
        <v>3.2</v>
      </c>
      <c r="G405" s="383">
        <v>1.7</v>
      </c>
      <c r="H405" s="382">
        <v>1.5000000000000002</v>
      </c>
      <c r="I405" s="376" t="s">
        <v>187</v>
      </c>
      <c r="J405" s="376" t="s">
        <v>187</v>
      </c>
      <c r="K405" s="377" t="s">
        <v>187</v>
      </c>
    </row>
    <row r="406" spans="2:11" ht="15.5">
      <c r="B406" s="380" t="s">
        <v>518</v>
      </c>
      <c r="C406" s="382">
        <v>0.5</v>
      </c>
      <c r="D406" s="383">
        <v>0.2</v>
      </c>
      <c r="E406" s="382">
        <v>0.3</v>
      </c>
      <c r="F406" s="382">
        <v>0.5</v>
      </c>
      <c r="G406" s="383">
        <v>0.2</v>
      </c>
      <c r="H406" s="382">
        <v>0.3</v>
      </c>
      <c r="I406" s="376" t="s">
        <v>187</v>
      </c>
      <c r="J406" s="376" t="s">
        <v>187</v>
      </c>
      <c r="K406" s="377" t="s">
        <v>187</v>
      </c>
    </row>
    <row r="407" spans="2:11" ht="15.5">
      <c r="B407" s="380" t="s">
        <v>519</v>
      </c>
      <c r="C407" s="382">
        <v>4.5</v>
      </c>
      <c r="D407" s="383">
        <v>2.2999999999999998</v>
      </c>
      <c r="E407" s="382">
        <v>2.2000000000000002</v>
      </c>
      <c r="F407" s="382">
        <v>4.5</v>
      </c>
      <c r="G407" s="383">
        <v>2.2999999999999998</v>
      </c>
      <c r="H407" s="382">
        <v>2.2000000000000002</v>
      </c>
      <c r="I407" s="376" t="s">
        <v>187</v>
      </c>
      <c r="J407" s="376" t="s">
        <v>187</v>
      </c>
      <c r="K407" s="377" t="s">
        <v>187</v>
      </c>
    </row>
    <row r="408" spans="2:11" ht="15.5">
      <c r="B408" s="380" t="s">
        <v>520</v>
      </c>
      <c r="C408" s="382">
        <v>1.9</v>
      </c>
      <c r="D408" s="383">
        <v>1</v>
      </c>
      <c r="E408" s="382">
        <v>0.89999999999999991</v>
      </c>
      <c r="F408" s="382">
        <v>1.9</v>
      </c>
      <c r="G408" s="383">
        <v>1</v>
      </c>
      <c r="H408" s="382">
        <v>0.89999999999999991</v>
      </c>
      <c r="I408" s="376" t="s">
        <v>187</v>
      </c>
      <c r="J408" s="376" t="s">
        <v>187</v>
      </c>
      <c r="K408" s="377" t="s">
        <v>187</v>
      </c>
    </row>
    <row r="409" spans="2:11" ht="15.5">
      <c r="B409" s="380" t="s">
        <v>521</v>
      </c>
      <c r="C409" s="382">
        <v>2</v>
      </c>
      <c r="D409" s="383">
        <v>1</v>
      </c>
      <c r="E409" s="382">
        <v>1</v>
      </c>
      <c r="F409" s="382">
        <v>2</v>
      </c>
      <c r="G409" s="383">
        <v>1</v>
      </c>
      <c r="H409" s="382">
        <v>1</v>
      </c>
      <c r="I409" s="376" t="s">
        <v>187</v>
      </c>
      <c r="J409" s="376" t="s">
        <v>187</v>
      </c>
      <c r="K409" s="377" t="s">
        <v>187</v>
      </c>
    </row>
    <row r="410" spans="2:11" ht="15.5">
      <c r="B410" s="380" t="s">
        <v>522</v>
      </c>
      <c r="C410" s="382">
        <v>1.7</v>
      </c>
      <c r="D410" s="383">
        <v>0.9</v>
      </c>
      <c r="E410" s="382">
        <v>0.79999999999999993</v>
      </c>
      <c r="F410" s="382">
        <v>1.7</v>
      </c>
      <c r="G410" s="383">
        <v>0.9</v>
      </c>
      <c r="H410" s="382">
        <v>0.79999999999999993</v>
      </c>
      <c r="I410" s="376" t="s">
        <v>187</v>
      </c>
      <c r="J410" s="376" t="s">
        <v>187</v>
      </c>
      <c r="K410" s="377" t="s">
        <v>187</v>
      </c>
    </row>
    <row r="411" spans="2:11" ht="15.5">
      <c r="B411" s="380"/>
      <c r="C411" s="404"/>
      <c r="D411" s="404"/>
      <c r="E411" s="404"/>
      <c r="F411" s="404"/>
      <c r="G411" s="404"/>
      <c r="H411" s="404"/>
      <c r="I411" s="404"/>
      <c r="J411" s="404"/>
      <c r="K411" s="405"/>
    </row>
    <row r="412" spans="2:11" ht="15">
      <c r="B412" s="372" t="s">
        <v>523</v>
      </c>
      <c r="C412" s="381">
        <v>59.3</v>
      </c>
      <c r="D412" s="381">
        <v>30.2</v>
      </c>
      <c r="E412" s="381">
        <v>29.099999999999998</v>
      </c>
      <c r="F412" s="381">
        <v>25.3</v>
      </c>
      <c r="G412" s="381">
        <v>13</v>
      </c>
      <c r="H412" s="381">
        <v>12.3</v>
      </c>
      <c r="I412" s="381">
        <v>34</v>
      </c>
      <c r="J412" s="381">
        <v>17.2</v>
      </c>
      <c r="K412" s="388">
        <v>16.8</v>
      </c>
    </row>
    <row r="413" spans="2:11" ht="15.5">
      <c r="B413" s="380" t="s">
        <v>524</v>
      </c>
      <c r="C413" s="382">
        <v>25.3</v>
      </c>
      <c r="D413" s="383">
        <v>13</v>
      </c>
      <c r="E413" s="382">
        <v>12.3</v>
      </c>
      <c r="F413" s="382">
        <v>25.3</v>
      </c>
      <c r="G413" s="383">
        <v>13</v>
      </c>
      <c r="H413" s="382">
        <v>12.3</v>
      </c>
      <c r="I413" s="376" t="s">
        <v>187</v>
      </c>
      <c r="J413" s="376" t="s">
        <v>187</v>
      </c>
      <c r="K413" s="377" t="s">
        <v>187</v>
      </c>
    </row>
    <row r="414" spans="2:11" ht="15.5">
      <c r="B414" s="380"/>
      <c r="C414" s="392"/>
      <c r="D414" s="392"/>
      <c r="E414" s="392"/>
      <c r="F414" s="392"/>
      <c r="G414" s="392"/>
      <c r="H414" s="392"/>
      <c r="I414" s="392"/>
      <c r="J414" s="392"/>
      <c r="K414" s="393"/>
    </row>
    <row r="415" spans="2:11" ht="15">
      <c r="B415" s="372" t="s">
        <v>525</v>
      </c>
      <c r="C415" s="381">
        <v>42.2</v>
      </c>
      <c r="D415" s="381">
        <v>21</v>
      </c>
      <c r="E415" s="381">
        <v>21.200000000000003</v>
      </c>
      <c r="F415" s="381">
        <v>27</v>
      </c>
      <c r="G415" s="381">
        <v>13.4</v>
      </c>
      <c r="H415" s="381">
        <v>13.6</v>
      </c>
      <c r="I415" s="381">
        <v>15.200000000000003</v>
      </c>
      <c r="J415" s="381">
        <v>7.6</v>
      </c>
      <c r="K415" s="388">
        <v>7.6000000000000032</v>
      </c>
    </row>
    <row r="416" spans="2:11" ht="15.5">
      <c r="B416" s="380" t="s">
        <v>526</v>
      </c>
      <c r="C416" s="382">
        <v>25.9</v>
      </c>
      <c r="D416" s="383">
        <v>12.8</v>
      </c>
      <c r="E416" s="382">
        <v>13.099999999999998</v>
      </c>
      <c r="F416" s="382">
        <v>25.9</v>
      </c>
      <c r="G416" s="383">
        <v>12.8</v>
      </c>
      <c r="H416" s="382">
        <v>13.099999999999998</v>
      </c>
      <c r="I416" s="376" t="s">
        <v>187</v>
      </c>
      <c r="J416" s="376" t="s">
        <v>187</v>
      </c>
      <c r="K416" s="377" t="s">
        <v>187</v>
      </c>
    </row>
    <row r="417" spans="1:11" ht="15.5">
      <c r="B417" s="380" t="s">
        <v>527</v>
      </c>
      <c r="C417" s="382">
        <v>1.1000000000000001</v>
      </c>
      <c r="D417" s="383">
        <v>0.6</v>
      </c>
      <c r="E417" s="382">
        <v>0.50000000000000011</v>
      </c>
      <c r="F417" s="382">
        <v>1.1000000000000001</v>
      </c>
      <c r="G417" s="383">
        <v>0.6</v>
      </c>
      <c r="H417" s="382">
        <v>0.50000000000000011</v>
      </c>
      <c r="I417" s="376" t="s">
        <v>187</v>
      </c>
      <c r="J417" s="376" t="s">
        <v>187</v>
      </c>
      <c r="K417" s="377" t="s">
        <v>187</v>
      </c>
    </row>
    <row r="418" spans="1:11" ht="15.5">
      <c r="B418" s="380"/>
      <c r="C418" s="385"/>
      <c r="D418" s="385"/>
      <c r="E418" s="385"/>
      <c r="F418" s="385"/>
      <c r="G418" s="385"/>
      <c r="H418" s="385"/>
      <c r="I418" s="385"/>
      <c r="J418" s="385"/>
      <c r="K418" s="394"/>
    </row>
    <row r="419" spans="1:11" ht="15">
      <c r="A419" t="s">
        <v>956</v>
      </c>
      <c r="B419" s="372" t="s">
        <v>528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281</v>
      </c>
      <c r="C420" s="382"/>
      <c r="D420" s="382"/>
      <c r="E420" s="382"/>
      <c r="F420" s="382"/>
      <c r="G420" s="382"/>
      <c r="H420" s="382"/>
      <c r="I420" s="382"/>
      <c r="J420" s="382"/>
      <c r="K420" s="389"/>
    </row>
    <row r="421" spans="1:11" ht="15">
      <c r="B421" s="372" t="s">
        <v>529</v>
      </c>
      <c r="C421" s="381">
        <v>120.6</v>
      </c>
      <c r="D421" s="381">
        <v>60.4</v>
      </c>
      <c r="E421" s="381">
        <v>60.199999999999996</v>
      </c>
      <c r="F421" s="381">
        <v>37.1</v>
      </c>
      <c r="G421" s="381">
        <v>18.2</v>
      </c>
      <c r="H421" s="381">
        <v>18.900000000000002</v>
      </c>
      <c r="I421" s="381">
        <v>83.5</v>
      </c>
      <c r="J421" s="381">
        <v>42.2</v>
      </c>
      <c r="K421" s="388">
        <v>41.3</v>
      </c>
    </row>
    <row r="422" spans="1:11" ht="15.5">
      <c r="B422" s="380" t="s">
        <v>530</v>
      </c>
      <c r="C422" s="382">
        <v>37.1</v>
      </c>
      <c r="D422" s="383">
        <v>18.2</v>
      </c>
      <c r="E422" s="382">
        <v>18.900000000000002</v>
      </c>
      <c r="F422" s="382">
        <v>37.1</v>
      </c>
      <c r="G422" s="383">
        <v>18.2</v>
      </c>
      <c r="H422" s="382">
        <v>18.900000000000002</v>
      </c>
      <c r="I422" s="376" t="s">
        <v>187</v>
      </c>
      <c r="J422" s="376" t="s">
        <v>187</v>
      </c>
      <c r="K422" s="377" t="s">
        <v>187</v>
      </c>
    </row>
    <row r="423" spans="1:11" ht="15.5">
      <c r="B423" s="380"/>
      <c r="C423" s="392"/>
      <c r="D423" s="392"/>
      <c r="E423" s="392"/>
      <c r="F423" s="392"/>
      <c r="G423" s="392"/>
      <c r="H423" s="392"/>
      <c r="I423" s="392"/>
      <c r="J423" s="392"/>
      <c r="K423" s="393"/>
    </row>
    <row r="424" spans="1:11" ht="15">
      <c r="B424" s="372" t="s">
        <v>531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532</v>
      </c>
      <c r="C425" s="382">
        <v>16.7</v>
      </c>
      <c r="D425" s="383">
        <v>8.5</v>
      </c>
      <c r="E425" s="382">
        <v>8.1999999999999993</v>
      </c>
      <c r="F425" s="382">
        <v>16.7</v>
      </c>
      <c r="G425" s="383">
        <v>8.5</v>
      </c>
      <c r="H425" s="382">
        <v>8.1999999999999993</v>
      </c>
      <c r="I425" s="376" t="s">
        <v>187</v>
      </c>
      <c r="J425" s="376" t="s">
        <v>187</v>
      </c>
      <c r="K425" s="377" t="s">
        <v>187</v>
      </c>
    </row>
    <row r="426" spans="1:11" ht="15.5">
      <c r="B426" s="380" t="s">
        <v>533</v>
      </c>
      <c r="C426" s="382">
        <v>2</v>
      </c>
      <c r="D426" s="383">
        <v>1</v>
      </c>
      <c r="E426" s="382">
        <v>1</v>
      </c>
      <c r="F426" s="382">
        <v>2</v>
      </c>
      <c r="G426" s="383">
        <v>1</v>
      </c>
      <c r="H426" s="382">
        <v>1</v>
      </c>
      <c r="I426" s="376" t="s">
        <v>187</v>
      </c>
      <c r="J426" s="376" t="s">
        <v>187</v>
      </c>
      <c r="K426" s="377" t="s">
        <v>187</v>
      </c>
    </row>
    <row r="427" spans="1:11" ht="15.5">
      <c r="B427" s="380" t="s">
        <v>534</v>
      </c>
      <c r="C427" s="382">
        <v>1.9</v>
      </c>
      <c r="D427" s="383">
        <v>1</v>
      </c>
      <c r="E427" s="382">
        <v>0.89999999999999991</v>
      </c>
      <c r="F427" s="382">
        <v>1.9</v>
      </c>
      <c r="G427" s="383">
        <v>1</v>
      </c>
      <c r="H427" s="382">
        <v>0.89999999999999991</v>
      </c>
      <c r="I427" s="376" t="s">
        <v>187</v>
      </c>
      <c r="J427" s="376" t="s">
        <v>187</v>
      </c>
      <c r="K427" s="377" t="s">
        <v>187</v>
      </c>
    </row>
    <row r="428" spans="1:11" ht="15.5">
      <c r="B428" s="380" t="s">
        <v>535</v>
      </c>
      <c r="C428" s="382">
        <v>0.8</v>
      </c>
      <c r="D428" s="383">
        <v>0.4</v>
      </c>
      <c r="E428" s="382">
        <v>0.4</v>
      </c>
      <c r="F428" s="382">
        <v>0.8</v>
      </c>
      <c r="G428" s="383">
        <v>0.4</v>
      </c>
      <c r="H428" s="382">
        <v>0.4</v>
      </c>
      <c r="I428" s="376" t="s">
        <v>187</v>
      </c>
      <c r="J428" s="376" t="s">
        <v>187</v>
      </c>
      <c r="K428" s="377" t="s">
        <v>187</v>
      </c>
    </row>
    <row r="429" spans="1:11" ht="15.5">
      <c r="B429" s="380" t="s">
        <v>536</v>
      </c>
      <c r="C429" s="382">
        <v>2.4</v>
      </c>
      <c r="D429" s="383">
        <v>1.2</v>
      </c>
      <c r="E429" s="382">
        <v>1.2</v>
      </c>
      <c r="F429" s="382">
        <v>2.4</v>
      </c>
      <c r="G429" s="383">
        <v>1.2</v>
      </c>
      <c r="H429" s="382">
        <v>1.2</v>
      </c>
      <c r="I429" s="376" t="s">
        <v>187</v>
      </c>
      <c r="J429" s="376" t="s">
        <v>187</v>
      </c>
      <c r="K429" s="377" t="s">
        <v>187</v>
      </c>
    </row>
    <row r="430" spans="1:11" ht="15.5">
      <c r="B430" s="380" t="s">
        <v>537</v>
      </c>
      <c r="C430" s="382">
        <v>2.1</v>
      </c>
      <c r="D430" s="383">
        <v>1</v>
      </c>
      <c r="E430" s="382">
        <v>1.1000000000000001</v>
      </c>
      <c r="F430" s="382">
        <v>2.1</v>
      </c>
      <c r="G430" s="383">
        <v>1</v>
      </c>
      <c r="H430" s="382">
        <v>1.1000000000000001</v>
      </c>
      <c r="I430" s="376" t="s">
        <v>187</v>
      </c>
      <c r="J430" s="376" t="s">
        <v>187</v>
      </c>
      <c r="K430" s="377" t="s">
        <v>187</v>
      </c>
    </row>
    <row r="431" spans="1:11" ht="15.5">
      <c r="B431" s="380" t="s">
        <v>538</v>
      </c>
      <c r="C431" s="382">
        <v>1</v>
      </c>
      <c r="D431" s="383">
        <v>0.5</v>
      </c>
      <c r="E431" s="382">
        <v>0.5</v>
      </c>
      <c r="F431" s="382">
        <v>1</v>
      </c>
      <c r="G431" s="383">
        <v>0.5</v>
      </c>
      <c r="H431" s="382">
        <v>0.5</v>
      </c>
      <c r="I431" s="376" t="s">
        <v>187</v>
      </c>
      <c r="J431" s="376" t="s">
        <v>187</v>
      </c>
      <c r="K431" s="377" t="s">
        <v>187</v>
      </c>
    </row>
    <row r="432" spans="1:11" ht="15.5">
      <c r="B432" s="380" t="s">
        <v>539</v>
      </c>
      <c r="C432" s="382">
        <v>0.9</v>
      </c>
      <c r="D432" s="383">
        <v>0.5</v>
      </c>
      <c r="E432" s="382">
        <v>0.4</v>
      </c>
      <c r="F432" s="382">
        <v>0.9</v>
      </c>
      <c r="G432" s="383">
        <v>0.5</v>
      </c>
      <c r="H432" s="382">
        <v>0.4</v>
      </c>
      <c r="I432" s="376" t="s">
        <v>187</v>
      </c>
      <c r="J432" s="376" t="s">
        <v>187</v>
      </c>
      <c r="K432" s="377" t="s">
        <v>187</v>
      </c>
    </row>
    <row r="433" spans="2:11" ht="15.5">
      <c r="B433" s="380" t="s">
        <v>540</v>
      </c>
      <c r="C433" s="382">
        <v>0.9</v>
      </c>
      <c r="D433" s="383">
        <v>0.5</v>
      </c>
      <c r="E433" s="382">
        <v>0.4</v>
      </c>
      <c r="F433" s="382">
        <v>0.9</v>
      </c>
      <c r="G433" s="383">
        <v>0.5</v>
      </c>
      <c r="H433" s="382">
        <v>0.4</v>
      </c>
      <c r="I433" s="376" t="s">
        <v>187</v>
      </c>
      <c r="J433" s="376" t="s">
        <v>187</v>
      </c>
      <c r="K433" s="377" t="s">
        <v>187</v>
      </c>
    </row>
    <row r="434" spans="2:11" ht="15.5">
      <c r="B434" s="380" t="s">
        <v>541</v>
      </c>
      <c r="C434" s="382">
        <v>0.2</v>
      </c>
      <c r="D434" s="383">
        <v>0.1</v>
      </c>
      <c r="E434" s="382">
        <v>0.1</v>
      </c>
      <c r="F434" s="382">
        <v>0.2</v>
      </c>
      <c r="G434" s="383">
        <v>0.1</v>
      </c>
      <c r="H434" s="382">
        <v>0.1</v>
      </c>
      <c r="I434" s="376" t="s">
        <v>187</v>
      </c>
      <c r="J434" s="376" t="s">
        <v>187</v>
      </c>
      <c r="K434" s="377" t="s">
        <v>187</v>
      </c>
    </row>
    <row r="435" spans="2:11" ht="15.5">
      <c r="B435" s="380" t="s">
        <v>542</v>
      </c>
      <c r="C435" s="382">
        <v>1.9</v>
      </c>
      <c r="D435" s="383">
        <v>1</v>
      </c>
      <c r="E435" s="382">
        <v>0.89999999999999991</v>
      </c>
      <c r="F435" s="382">
        <v>1.9</v>
      </c>
      <c r="G435" s="383">
        <v>1</v>
      </c>
      <c r="H435" s="382">
        <v>0.89999999999999991</v>
      </c>
      <c r="I435" s="376" t="s">
        <v>187</v>
      </c>
      <c r="J435" s="376" t="s">
        <v>187</v>
      </c>
      <c r="K435" s="377" t="s">
        <v>187</v>
      </c>
    </row>
    <row r="436" spans="2:11" ht="15.5">
      <c r="B436" s="380" t="s">
        <v>543</v>
      </c>
      <c r="C436" s="382">
        <v>0.7</v>
      </c>
      <c r="D436" s="383">
        <v>0.4</v>
      </c>
      <c r="E436" s="382">
        <v>0.29999999999999993</v>
      </c>
      <c r="F436" s="382">
        <v>0.7</v>
      </c>
      <c r="G436" s="383">
        <v>0.4</v>
      </c>
      <c r="H436" s="382">
        <v>0.29999999999999993</v>
      </c>
      <c r="I436" s="376" t="s">
        <v>187</v>
      </c>
      <c r="J436" s="376" t="s">
        <v>187</v>
      </c>
      <c r="K436" s="377" t="s">
        <v>187</v>
      </c>
    </row>
    <row r="437" spans="2:11" ht="15.5">
      <c r="B437" s="380" t="s">
        <v>544</v>
      </c>
      <c r="C437" s="382">
        <v>2.4</v>
      </c>
      <c r="D437" s="383">
        <v>1.3</v>
      </c>
      <c r="E437" s="382">
        <v>1.0999999999999999</v>
      </c>
      <c r="F437" s="382">
        <v>2.4</v>
      </c>
      <c r="G437" s="383">
        <v>1.3</v>
      </c>
      <c r="H437" s="382">
        <v>1.0999999999999999</v>
      </c>
      <c r="I437" s="376" t="s">
        <v>187</v>
      </c>
      <c r="J437" s="376" t="s">
        <v>187</v>
      </c>
      <c r="K437" s="377" t="s">
        <v>187</v>
      </c>
    </row>
    <row r="438" spans="2:11" ht="15.5">
      <c r="B438" s="380" t="s">
        <v>545</v>
      </c>
      <c r="C438" s="382">
        <v>1.8</v>
      </c>
      <c r="D438" s="383">
        <v>0.9</v>
      </c>
      <c r="E438" s="382">
        <v>0.9</v>
      </c>
      <c r="F438" s="382">
        <v>1.8</v>
      </c>
      <c r="G438" s="383">
        <v>0.9</v>
      </c>
      <c r="H438" s="382">
        <v>0.9</v>
      </c>
      <c r="I438" s="376" t="s">
        <v>187</v>
      </c>
      <c r="J438" s="376" t="s">
        <v>187</v>
      </c>
      <c r="K438" s="377" t="s">
        <v>187</v>
      </c>
    </row>
    <row r="439" spans="2:11" ht="15.5">
      <c r="B439" s="380" t="s">
        <v>546</v>
      </c>
      <c r="C439" s="382">
        <v>1.3</v>
      </c>
      <c r="D439" s="383">
        <v>0.6</v>
      </c>
      <c r="E439" s="382">
        <v>0.70000000000000007</v>
      </c>
      <c r="F439" s="382">
        <v>1.3</v>
      </c>
      <c r="G439" s="383">
        <v>0.6</v>
      </c>
      <c r="H439" s="382">
        <v>0.70000000000000007</v>
      </c>
      <c r="I439" s="376" t="s">
        <v>187</v>
      </c>
      <c r="J439" s="376" t="s">
        <v>187</v>
      </c>
      <c r="K439" s="377" t="s">
        <v>187</v>
      </c>
    </row>
    <row r="440" spans="2:11" ht="15.5">
      <c r="B440" s="380" t="s">
        <v>547</v>
      </c>
      <c r="C440" s="382">
        <v>1.3</v>
      </c>
      <c r="D440" s="383">
        <v>0.6</v>
      </c>
      <c r="E440" s="382">
        <v>0.70000000000000007</v>
      </c>
      <c r="F440" s="382">
        <v>1.3</v>
      </c>
      <c r="G440" s="383">
        <v>0.6</v>
      </c>
      <c r="H440" s="382">
        <v>0.70000000000000007</v>
      </c>
      <c r="I440" s="376" t="s">
        <v>187</v>
      </c>
      <c r="J440" s="376" t="s">
        <v>187</v>
      </c>
      <c r="K440" s="377" t="s">
        <v>187</v>
      </c>
    </row>
    <row r="441" spans="2:11" ht="15.5">
      <c r="B441" s="380" t="s">
        <v>548</v>
      </c>
      <c r="C441" s="382">
        <v>2.2999999999999998</v>
      </c>
      <c r="D441" s="383">
        <v>1.2</v>
      </c>
      <c r="E441" s="382">
        <v>1.0999999999999999</v>
      </c>
      <c r="F441" s="382">
        <v>2.2999999999999998</v>
      </c>
      <c r="G441" s="383">
        <v>1.2</v>
      </c>
      <c r="H441" s="382">
        <v>1.0999999999999999</v>
      </c>
      <c r="I441" s="376" t="s">
        <v>187</v>
      </c>
      <c r="J441" s="376" t="s">
        <v>187</v>
      </c>
      <c r="K441" s="377" t="s">
        <v>187</v>
      </c>
    </row>
    <row r="442" spans="2:11" ht="15.5">
      <c r="B442" s="380"/>
      <c r="C442" s="404"/>
      <c r="D442" s="404"/>
      <c r="E442" s="404"/>
      <c r="F442" s="404"/>
      <c r="G442" s="404"/>
      <c r="H442" s="404"/>
      <c r="I442" s="404"/>
      <c r="J442" s="404"/>
      <c r="K442" s="405"/>
    </row>
    <row r="443" spans="2:11" ht="15">
      <c r="B443" s="372" t="s">
        <v>549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550</v>
      </c>
      <c r="C444" s="382">
        <v>41.2</v>
      </c>
      <c r="D444" s="383">
        <v>21</v>
      </c>
      <c r="E444" s="382">
        <v>20.200000000000003</v>
      </c>
      <c r="F444" s="382">
        <v>41.2</v>
      </c>
      <c r="G444" s="383">
        <v>21</v>
      </c>
      <c r="H444" s="382">
        <v>20.200000000000003</v>
      </c>
      <c r="I444" s="376" t="s">
        <v>187</v>
      </c>
      <c r="J444" s="376" t="s">
        <v>187</v>
      </c>
      <c r="K444" s="377" t="s">
        <v>187</v>
      </c>
    </row>
    <row r="445" spans="2:11" ht="15.5">
      <c r="B445" s="380" t="s">
        <v>551</v>
      </c>
      <c r="C445" s="382">
        <v>8.9</v>
      </c>
      <c r="D445" s="383">
        <v>4.5999999999999996</v>
      </c>
      <c r="E445" s="382">
        <v>4.3000000000000007</v>
      </c>
      <c r="F445" s="382">
        <v>8.9</v>
      </c>
      <c r="G445" s="383">
        <v>4.5999999999999996</v>
      </c>
      <c r="H445" s="382">
        <v>4.3000000000000007</v>
      </c>
      <c r="I445" s="376" t="s">
        <v>187</v>
      </c>
      <c r="J445" s="376" t="s">
        <v>187</v>
      </c>
      <c r="K445" s="377" t="s">
        <v>187</v>
      </c>
    </row>
    <row r="446" spans="2:11" ht="15.5">
      <c r="B446" s="380"/>
      <c r="C446" s="392"/>
      <c r="D446" s="392"/>
      <c r="E446" s="392"/>
      <c r="F446" s="392"/>
      <c r="G446" s="392"/>
      <c r="H446" s="392"/>
      <c r="I446" s="392"/>
      <c r="J446" s="392"/>
      <c r="K446" s="393"/>
    </row>
    <row r="447" spans="2:11" ht="15">
      <c r="B447" s="372" t="s">
        <v>552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553</v>
      </c>
      <c r="C448" s="382">
        <v>40</v>
      </c>
      <c r="D448" s="383">
        <v>19.8</v>
      </c>
      <c r="E448" s="382">
        <v>20.2</v>
      </c>
      <c r="F448" s="382">
        <v>40</v>
      </c>
      <c r="G448" s="383">
        <v>19.8</v>
      </c>
      <c r="H448" s="382">
        <v>20.2</v>
      </c>
      <c r="I448" s="376" t="s">
        <v>187</v>
      </c>
      <c r="J448" s="376" t="s">
        <v>187</v>
      </c>
      <c r="K448" s="377" t="s">
        <v>187</v>
      </c>
    </row>
    <row r="449" spans="2:11" ht="15.5">
      <c r="B449" s="380"/>
      <c r="C449" s="409"/>
      <c r="D449" s="409"/>
      <c r="E449" s="409"/>
      <c r="F449" s="409"/>
      <c r="G449" s="409"/>
      <c r="H449" s="409"/>
      <c r="I449" s="409"/>
      <c r="J449" s="409"/>
      <c r="K449" s="410"/>
    </row>
    <row r="450" spans="2:11" ht="15">
      <c r="B450" s="372" t="s">
        <v>554</v>
      </c>
      <c r="C450" s="381">
        <v>88</v>
      </c>
      <c r="D450" s="381">
        <v>43.6</v>
      </c>
      <c r="E450" s="381">
        <v>44.4</v>
      </c>
      <c r="F450" s="381">
        <v>41</v>
      </c>
      <c r="G450" s="381">
        <v>20.3</v>
      </c>
      <c r="H450" s="381">
        <v>20.7</v>
      </c>
      <c r="I450" s="381">
        <v>47</v>
      </c>
      <c r="J450" s="381">
        <v>23.3</v>
      </c>
      <c r="K450" s="391">
        <v>23.7</v>
      </c>
    </row>
    <row r="451" spans="2:11" ht="15.5">
      <c r="B451" s="380" t="s">
        <v>555</v>
      </c>
      <c r="C451" s="382">
        <v>21.9</v>
      </c>
      <c r="D451" s="383">
        <v>10.9</v>
      </c>
      <c r="E451" s="382">
        <v>10.999999999999998</v>
      </c>
      <c r="F451" s="382">
        <v>21.9</v>
      </c>
      <c r="G451" s="383">
        <v>10.9</v>
      </c>
      <c r="H451" s="382">
        <v>10.999999999999998</v>
      </c>
      <c r="I451" s="376" t="s">
        <v>187</v>
      </c>
      <c r="J451" s="376" t="s">
        <v>187</v>
      </c>
      <c r="K451" s="377" t="s">
        <v>187</v>
      </c>
    </row>
    <row r="452" spans="2:11" ht="15.5">
      <c r="B452" s="380" t="s">
        <v>556</v>
      </c>
      <c r="C452" s="382">
        <v>7.9</v>
      </c>
      <c r="D452" s="383">
        <v>3.9</v>
      </c>
      <c r="E452" s="382">
        <v>4</v>
      </c>
      <c r="F452" s="382">
        <v>7.9</v>
      </c>
      <c r="G452" s="383">
        <v>3.9</v>
      </c>
      <c r="H452" s="382">
        <v>4</v>
      </c>
      <c r="I452" s="376" t="s">
        <v>187</v>
      </c>
      <c r="J452" s="376" t="s">
        <v>187</v>
      </c>
      <c r="K452" s="377" t="s">
        <v>187</v>
      </c>
    </row>
    <row r="453" spans="2:11" ht="15.5">
      <c r="B453" s="380" t="s">
        <v>557</v>
      </c>
      <c r="C453" s="382">
        <v>6.9</v>
      </c>
      <c r="D453" s="383">
        <v>3.4</v>
      </c>
      <c r="E453" s="382">
        <v>3.5000000000000004</v>
      </c>
      <c r="F453" s="382">
        <v>6.9</v>
      </c>
      <c r="G453" s="383">
        <v>3.4</v>
      </c>
      <c r="H453" s="382">
        <v>3.5000000000000004</v>
      </c>
      <c r="I453" s="376" t="s">
        <v>187</v>
      </c>
      <c r="J453" s="376" t="s">
        <v>187</v>
      </c>
      <c r="K453" s="377" t="s">
        <v>187</v>
      </c>
    </row>
    <row r="454" spans="2:11" ht="15.5">
      <c r="B454" s="380" t="s">
        <v>558</v>
      </c>
      <c r="C454" s="382">
        <v>4.3</v>
      </c>
      <c r="D454" s="383">
        <v>2.1</v>
      </c>
      <c r="E454" s="382">
        <v>2.1999999999999997</v>
      </c>
      <c r="F454" s="382">
        <v>4.3</v>
      </c>
      <c r="G454" s="383">
        <v>2.1</v>
      </c>
      <c r="H454" s="382">
        <v>2.1999999999999997</v>
      </c>
      <c r="I454" s="376" t="s">
        <v>187</v>
      </c>
      <c r="J454" s="376" t="s">
        <v>187</v>
      </c>
      <c r="K454" s="377" t="s">
        <v>187</v>
      </c>
    </row>
    <row r="455" spans="2:11" ht="15.5">
      <c r="B455" s="380"/>
      <c r="C455" s="385"/>
      <c r="D455" s="385"/>
      <c r="E455" s="385"/>
      <c r="F455" s="385"/>
      <c r="G455" s="385"/>
      <c r="H455" s="385"/>
      <c r="I455" s="385"/>
      <c r="J455" s="385"/>
      <c r="K455" s="394"/>
    </row>
    <row r="456" spans="2:11" ht="15">
      <c r="B456" s="372" t="s">
        <v>559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560</v>
      </c>
      <c r="C457" s="382">
        <v>23.1</v>
      </c>
      <c r="D457" s="383">
        <v>11.6</v>
      </c>
      <c r="E457" s="382">
        <v>11.500000000000002</v>
      </c>
      <c r="F457" s="382">
        <v>23.1</v>
      </c>
      <c r="G457" s="383">
        <v>11.6</v>
      </c>
      <c r="H457" s="382">
        <v>11.500000000000002</v>
      </c>
      <c r="I457" s="376" t="s">
        <v>187</v>
      </c>
      <c r="J457" s="376" t="s">
        <v>187</v>
      </c>
      <c r="K457" s="377" t="s">
        <v>187</v>
      </c>
    </row>
    <row r="458" spans="2:11" ht="15.5">
      <c r="B458" s="380"/>
      <c r="C458" s="392"/>
      <c r="D458" s="392"/>
      <c r="E458" s="392"/>
      <c r="F458" s="392"/>
      <c r="G458" s="392"/>
      <c r="H458" s="392"/>
      <c r="I458" s="392"/>
      <c r="J458" s="392"/>
      <c r="K458" s="393"/>
    </row>
    <row r="459" spans="2:11" ht="15">
      <c r="B459" s="372" t="s">
        <v>561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562</v>
      </c>
      <c r="C460" s="382">
        <v>38.700000000000003</v>
      </c>
      <c r="D460" s="383">
        <v>18.7</v>
      </c>
      <c r="E460" s="382">
        <v>20.000000000000004</v>
      </c>
      <c r="F460" s="382">
        <v>38.700000000000003</v>
      </c>
      <c r="G460" s="383">
        <v>18.7</v>
      </c>
      <c r="H460" s="382">
        <v>20.000000000000004</v>
      </c>
      <c r="I460" s="376" t="s">
        <v>187</v>
      </c>
      <c r="J460" s="376" t="s">
        <v>187</v>
      </c>
      <c r="K460" s="377" t="s">
        <v>187</v>
      </c>
    </row>
    <row r="461" spans="2:11" ht="15.5">
      <c r="B461" s="380" t="s">
        <v>563</v>
      </c>
      <c r="C461" s="382">
        <v>4.9000000000000004</v>
      </c>
      <c r="D461" s="383">
        <v>2.4</v>
      </c>
      <c r="E461" s="382">
        <v>2.5000000000000004</v>
      </c>
      <c r="F461" s="382">
        <v>4.9000000000000004</v>
      </c>
      <c r="G461" s="383">
        <v>2.4</v>
      </c>
      <c r="H461" s="382">
        <v>2.5000000000000004</v>
      </c>
      <c r="I461" s="376" t="s">
        <v>187</v>
      </c>
      <c r="J461" s="376" t="s">
        <v>187</v>
      </c>
      <c r="K461" s="377" t="s">
        <v>187</v>
      </c>
    </row>
    <row r="462" spans="2:11" ht="15.5">
      <c r="B462" s="380" t="s">
        <v>564</v>
      </c>
      <c r="C462" s="382">
        <v>0.3</v>
      </c>
      <c r="D462" s="383">
        <v>0.2</v>
      </c>
      <c r="E462" s="382">
        <v>9.9999999999999978E-2</v>
      </c>
      <c r="F462" s="382">
        <v>0.3</v>
      </c>
      <c r="G462" s="383">
        <v>0.2</v>
      </c>
      <c r="H462" s="382">
        <v>9.9999999999999978E-2</v>
      </c>
      <c r="I462" s="376" t="s">
        <v>187</v>
      </c>
      <c r="J462" s="376" t="s">
        <v>187</v>
      </c>
      <c r="K462" s="377" t="s">
        <v>187</v>
      </c>
    </row>
    <row r="463" spans="2:11" ht="15.5">
      <c r="B463" s="380"/>
      <c r="C463" s="404"/>
      <c r="D463" s="404"/>
      <c r="E463" s="404"/>
      <c r="F463" s="404"/>
      <c r="G463" s="404"/>
      <c r="H463" s="404"/>
      <c r="I463" s="404"/>
      <c r="J463" s="404"/>
      <c r="K463" s="405"/>
    </row>
    <row r="464" spans="2:11" ht="15">
      <c r="B464" s="372" t="s">
        <v>565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566</v>
      </c>
      <c r="C465" s="382">
        <v>61.7</v>
      </c>
      <c r="D465" s="383">
        <v>28.2</v>
      </c>
      <c r="E465" s="382">
        <v>33.5</v>
      </c>
      <c r="F465" s="382">
        <v>61.7</v>
      </c>
      <c r="G465" s="383">
        <v>28.2</v>
      </c>
      <c r="H465" s="382">
        <v>33.5</v>
      </c>
      <c r="I465" s="376" t="s">
        <v>187</v>
      </c>
      <c r="J465" s="376" t="s">
        <v>187</v>
      </c>
      <c r="K465" s="377" t="s">
        <v>187</v>
      </c>
    </row>
    <row r="466" spans="2:11" ht="15.5">
      <c r="B466" s="380" t="s">
        <v>567</v>
      </c>
      <c r="C466" s="382">
        <v>0.5</v>
      </c>
      <c r="D466" s="383">
        <v>0.2</v>
      </c>
      <c r="E466" s="382">
        <v>0.3</v>
      </c>
      <c r="F466" s="382">
        <v>0.5</v>
      </c>
      <c r="G466" s="383">
        <v>0.2</v>
      </c>
      <c r="H466" s="382">
        <v>0.3</v>
      </c>
      <c r="I466" s="376" t="s">
        <v>187</v>
      </c>
      <c r="J466" s="376" t="s">
        <v>187</v>
      </c>
      <c r="K466" s="377" t="s">
        <v>187</v>
      </c>
    </row>
    <row r="467" spans="2:11" ht="15.5">
      <c r="B467" s="380" t="s">
        <v>568</v>
      </c>
      <c r="C467" s="382">
        <v>0.3</v>
      </c>
      <c r="D467" s="383">
        <v>0.2</v>
      </c>
      <c r="E467" s="382">
        <v>9.9999999999999978E-2</v>
      </c>
      <c r="F467" s="382">
        <v>0.3</v>
      </c>
      <c r="G467" s="383">
        <v>0.2</v>
      </c>
      <c r="H467" s="382">
        <v>9.9999999999999978E-2</v>
      </c>
      <c r="I467" s="376" t="s">
        <v>187</v>
      </c>
      <c r="J467" s="376" t="s">
        <v>187</v>
      </c>
      <c r="K467" s="377" t="s">
        <v>187</v>
      </c>
    </row>
    <row r="468" spans="2:11" ht="15.5">
      <c r="B468" s="380" t="s">
        <v>569</v>
      </c>
      <c r="C468" s="382">
        <v>6.9</v>
      </c>
      <c r="D468" s="383">
        <v>3.4</v>
      </c>
      <c r="E468" s="382">
        <v>3.5000000000000004</v>
      </c>
      <c r="F468" s="382">
        <v>6.9</v>
      </c>
      <c r="G468" s="383">
        <v>3.4</v>
      </c>
      <c r="H468" s="382">
        <v>3.5000000000000004</v>
      </c>
      <c r="I468" s="376" t="s">
        <v>187</v>
      </c>
      <c r="J468" s="376" t="s">
        <v>187</v>
      </c>
      <c r="K468" s="377" t="s">
        <v>187</v>
      </c>
    </row>
    <row r="469" spans="2:11" ht="15.5">
      <c r="B469" s="380"/>
      <c r="C469" s="392"/>
      <c r="D469" s="392"/>
      <c r="E469" s="392"/>
      <c r="F469" s="392"/>
      <c r="G469" s="392"/>
      <c r="H469" s="392"/>
      <c r="I469" s="392"/>
      <c r="J469" s="392"/>
      <c r="K469" s="393"/>
    </row>
    <row r="470" spans="2:11" ht="15">
      <c r="B470" s="372" t="s">
        <v>570</v>
      </c>
      <c r="C470" s="381">
        <v>105.4</v>
      </c>
      <c r="D470" s="381">
        <v>50.7</v>
      </c>
      <c r="E470" s="381">
        <v>54.7</v>
      </c>
      <c r="F470" s="381">
        <v>105.4</v>
      </c>
      <c r="G470" s="381">
        <v>50.7</v>
      </c>
      <c r="H470" s="381">
        <v>54.7</v>
      </c>
      <c r="I470" s="376" t="s">
        <v>187</v>
      </c>
      <c r="J470" s="376" t="s">
        <v>187</v>
      </c>
      <c r="K470" s="377" t="s">
        <v>187</v>
      </c>
    </row>
    <row r="471" spans="2:11" ht="15">
      <c r="B471" s="372"/>
      <c r="C471" s="409"/>
      <c r="D471" s="409"/>
      <c r="E471" s="409"/>
      <c r="F471" s="409"/>
      <c r="G471" s="409"/>
      <c r="H471" s="409"/>
      <c r="I471" s="409"/>
      <c r="J471" s="409"/>
      <c r="K471" s="410"/>
    </row>
    <row r="472" spans="2:11" ht="15">
      <c r="B472" s="372" t="s">
        <v>571</v>
      </c>
      <c r="C472" s="381">
        <v>109.9</v>
      </c>
      <c r="D472" s="381">
        <v>54.8</v>
      </c>
      <c r="E472" s="381">
        <v>55.100000000000009</v>
      </c>
      <c r="F472" s="381">
        <v>36.4</v>
      </c>
      <c r="G472" s="390">
        <v>17.8</v>
      </c>
      <c r="H472" s="381">
        <v>18.599999999999998</v>
      </c>
      <c r="I472" s="381">
        <v>73.5</v>
      </c>
      <c r="J472" s="381">
        <v>37</v>
      </c>
      <c r="K472" s="388">
        <v>36.5</v>
      </c>
    </row>
    <row r="473" spans="2:11" ht="15.5">
      <c r="B473" s="380" t="s">
        <v>572</v>
      </c>
      <c r="C473" s="382">
        <v>32.299999999999997</v>
      </c>
      <c r="D473" s="383">
        <v>15.7</v>
      </c>
      <c r="E473" s="382">
        <v>16.599999999999998</v>
      </c>
      <c r="F473" s="382">
        <v>32.299999999999997</v>
      </c>
      <c r="G473" s="383">
        <v>15.7</v>
      </c>
      <c r="H473" s="382">
        <v>16.599999999999998</v>
      </c>
      <c r="I473" s="376" t="s">
        <v>187</v>
      </c>
      <c r="J473" s="376" t="s">
        <v>187</v>
      </c>
      <c r="K473" s="377" t="s">
        <v>187</v>
      </c>
    </row>
    <row r="474" spans="2:11" ht="15.5">
      <c r="B474" s="380" t="s">
        <v>573</v>
      </c>
      <c r="C474" s="382">
        <v>0.3</v>
      </c>
      <c r="D474" s="383">
        <v>0.2</v>
      </c>
      <c r="E474" s="382">
        <v>9.9999999999999978E-2</v>
      </c>
      <c r="F474" s="382">
        <v>0.3</v>
      </c>
      <c r="G474" s="383">
        <v>0.2</v>
      </c>
      <c r="H474" s="382">
        <v>9.9999999999999978E-2</v>
      </c>
      <c r="I474" s="376" t="s">
        <v>187</v>
      </c>
      <c r="J474" s="376" t="s">
        <v>187</v>
      </c>
      <c r="K474" s="377" t="s">
        <v>187</v>
      </c>
    </row>
    <row r="475" spans="2:11" ht="15.5">
      <c r="B475" s="380" t="s">
        <v>574</v>
      </c>
      <c r="C475" s="382">
        <v>3.8</v>
      </c>
      <c r="D475" s="383">
        <v>1.9</v>
      </c>
      <c r="E475" s="382">
        <v>1.9</v>
      </c>
      <c r="F475" s="382">
        <v>3.8</v>
      </c>
      <c r="G475" s="383">
        <v>1.9</v>
      </c>
      <c r="H475" s="382">
        <v>1.9</v>
      </c>
      <c r="I475" s="376" t="s">
        <v>187</v>
      </c>
      <c r="J475" s="376" t="s">
        <v>187</v>
      </c>
      <c r="K475" s="377" t="s">
        <v>187</v>
      </c>
    </row>
    <row r="476" spans="2:11" ht="15.5">
      <c r="B476" s="380"/>
      <c r="C476" s="404"/>
      <c r="D476" s="404"/>
      <c r="E476" s="404"/>
      <c r="F476" s="404"/>
      <c r="G476" s="404"/>
      <c r="H476" s="404"/>
      <c r="I476" s="404"/>
      <c r="J476" s="404"/>
      <c r="K476" s="405"/>
    </row>
    <row r="477" spans="2:11" ht="15">
      <c r="B477" s="372" t="s">
        <v>575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576</v>
      </c>
      <c r="C478" s="382">
        <v>18.100000000000001</v>
      </c>
      <c r="D478" s="383">
        <v>8.8000000000000007</v>
      </c>
      <c r="E478" s="382">
        <v>9.3000000000000007</v>
      </c>
      <c r="F478" s="382">
        <v>18.100000000000001</v>
      </c>
      <c r="G478" s="383">
        <v>8.8000000000000007</v>
      </c>
      <c r="H478" s="382">
        <v>9.3000000000000007</v>
      </c>
      <c r="I478" s="376" t="s">
        <v>187</v>
      </c>
      <c r="J478" s="376" t="s">
        <v>187</v>
      </c>
      <c r="K478" s="377" t="s">
        <v>187</v>
      </c>
    </row>
    <row r="479" spans="2:11" ht="15.5">
      <c r="B479" s="380"/>
      <c r="C479" s="392"/>
      <c r="D479" s="392"/>
      <c r="E479" s="392"/>
      <c r="F479" s="392"/>
      <c r="G479" s="392"/>
      <c r="H479" s="392"/>
      <c r="I479" s="392"/>
      <c r="J479" s="392"/>
      <c r="K479" s="393"/>
    </row>
    <row r="480" spans="2:11" ht="15">
      <c r="B480" s="372" t="s">
        <v>577</v>
      </c>
      <c r="C480" s="381">
        <v>58.8</v>
      </c>
      <c r="D480" s="381">
        <v>29.5</v>
      </c>
      <c r="E480" s="381">
        <v>29.299999999999997</v>
      </c>
      <c r="F480" s="381">
        <v>11.9</v>
      </c>
      <c r="G480" s="390">
        <v>5.9</v>
      </c>
      <c r="H480" s="381">
        <v>6</v>
      </c>
      <c r="I480" s="381">
        <v>46.9</v>
      </c>
      <c r="J480" s="381">
        <v>23.6</v>
      </c>
      <c r="K480" s="388">
        <v>23.299999999999997</v>
      </c>
    </row>
    <row r="481" spans="2:11" ht="15.5">
      <c r="B481" s="380" t="s">
        <v>578</v>
      </c>
      <c r="C481" s="382">
        <v>10.9</v>
      </c>
      <c r="D481" s="383">
        <v>5.4</v>
      </c>
      <c r="E481" s="382">
        <v>5.5</v>
      </c>
      <c r="F481" s="382">
        <v>10.9</v>
      </c>
      <c r="G481" s="383">
        <v>5.4</v>
      </c>
      <c r="H481" s="382">
        <v>5.5</v>
      </c>
      <c r="I481" s="376" t="s">
        <v>187</v>
      </c>
      <c r="J481" s="376" t="s">
        <v>187</v>
      </c>
      <c r="K481" s="377" t="s">
        <v>187</v>
      </c>
    </row>
    <row r="482" spans="2:11" ht="15.5">
      <c r="B482" s="380" t="s">
        <v>579</v>
      </c>
      <c r="C482" s="382">
        <v>1</v>
      </c>
      <c r="D482" s="383">
        <v>0.5</v>
      </c>
      <c r="E482" s="382">
        <v>0.5</v>
      </c>
      <c r="F482" s="382">
        <v>1</v>
      </c>
      <c r="G482" s="383">
        <v>0.5</v>
      </c>
      <c r="H482" s="382">
        <v>0.5</v>
      </c>
      <c r="I482" s="376" t="s">
        <v>187</v>
      </c>
      <c r="J482" s="376" t="s">
        <v>187</v>
      </c>
      <c r="K482" s="377" t="s">
        <v>187</v>
      </c>
    </row>
    <row r="483" spans="2:11" ht="15.5">
      <c r="B483" s="380"/>
      <c r="C483" s="392"/>
      <c r="D483" s="392"/>
      <c r="E483" s="392"/>
      <c r="F483" s="392"/>
      <c r="G483" s="392"/>
      <c r="H483" s="392"/>
      <c r="I483" s="392"/>
      <c r="J483" s="392"/>
      <c r="K483" s="393"/>
    </row>
    <row r="484" spans="2:11" ht="15">
      <c r="B484" s="372" t="s">
        <v>580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581</v>
      </c>
      <c r="C485" s="382">
        <v>19.100000000000001</v>
      </c>
      <c r="D485" s="383">
        <v>9.5</v>
      </c>
      <c r="E485" s="382">
        <v>9.6000000000000014</v>
      </c>
      <c r="F485" s="382">
        <v>19.100000000000001</v>
      </c>
      <c r="G485" s="383">
        <v>9.5</v>
      </c>
      <c r="H485" s="382">
        <v>9.6000000000000014</v>
      </c>
      <c r="I485" s="376" t="s">
        <v>187</v>
      </c>
      <c r="J485" s="376" t="s">
        <v>187</v>
      </c>
      <c r="K485" s="377" t="s">
        <v>187</v>
      </c>
    </row>
    <row r="486" spans="2:11" ht="15.5">
      <c r="B486" s="380" t="s">
        <v>582</v>
      </c>
      <c r="C486" s="382">
        <v>1.7</v>
      </c>
      <c r="D486" s="383">
        <v>0.9</v>
      </c>
      <c r="E486" s="382">
        <v>0.79999999999999993</v>
      </c>
      <c r="F486" s="382">
        <v>1.7</v>
      </c>
      <c r="G486" s="383">
        <v>0.9</v>
      </c>
      <c r="H486" s="382">
        <v>0.79999999999999993</v>
      </c>
      <c r="I486" s="376" t="s">
        <v>187</v>
      </c>
      <c r="J486" s="376" t="s">
        <v>187</v>
      </c>
      <c r="K486" s="377" t="s">
        <v>187</v>
      </c>
    </row>
    <row r="487" spans="2:11" ht="15.5">
      <c r="B487" s="380" t="s">
        <v>583</v>
      </c>
      <c r="C487" s="382">
        <v>1.6</v>
      </c>
      <c r="D487" s="383">
        <v>0.8</v>
      </c>
      <c r="E487" s="382">
        <v>0.8</v>
      </c>
      <c r="F487" s="382">
        <v>1.6</v>
      </c>
      <c r="G487" s="383">
        <v>0.8</v>
      </c>
      <c r="H487" s="382">
        <v>0.8</v>
      </c>
      <c r="I487" s="376" t="s">
        <v>187</v>
      </c>
      <c r="J487" s="376" t="s">
        <v>187</v>
      </c>
      <c r="K487" s="377" t="s">
        <v>187</v>
      </c>
    </row>
    <row r="488" spans="2:11" ht="15.5">
      <c r="B488" s="380"/>
      <c r="C488" s="404"/>
      <c r="D488" s="404"/>
      <c r="E488" s="404"/>
      <c r="F488" s="404"/>
      <c r="G488" s="404"/>
      <c r="H488" s="404"/>
      <c r="I488" s="404"/>
      <c r="J488" s="404"/>
      <c r="K488" s="405"/>
    </row>
    <row r="489" spans="2:11" ht="15">
      <c r="B489" s="372" t="s">
        <v>584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585</v>
      </c>
      <c r="C490" s="382">
        <v>35.799999999999997</v>
      </c>
      <c r="D490" s="383">
        <v>17.8</v>
      </c>
      <c r="E490" s="382">
        <v>17.999999999999996</v>
      </c>
      <c r="F490" s="382">
        <v>35.799999999999997</v>
      </c>
      <c r="G490" s="383">
        <v>17.8</v>
      </c>
      <c r="H490" s="382">
        <v>17.999999999999996</v>
      </c>
      <c r="I490" s="376" t="s">
        <v>187</v>
      </c>
      <c r="J490" s="376" t="s">
        <v>187</v>
      </c>
      <c r="K490" s="377" t="s">
        <v>187</v>
      </c>
    </row>
    <row r="491" spans="2:11" ht="15.5">
      <c r="B491" s="380" t="s">
        <v>586</v>
      </c>
      <c r="C491" s="382">
        <v>4.9000000000000004</v>
      </c>
      <c r="D491" s="383">
        <v>2.4</v>
      </c>
      <c r="E491" s="382">
        <v>2.5000000000000004</v>
      </c>
      <c r="F491" s="382">
        <v>4.9000000000000004</v>
      </c>
      <c r="G491" s="383">
        <v>2.4</v>
      </c>
      <c r="H491" s="382">
        <v>2.5000000000000004</v>
      </c>
      <c r="I491" s="376" t="s">
        <v>187</v>
      </c>
      <c r="J491" s="376" t="s">
        <v>187</v>
      </c>
      <c r="K491" s="377" t="s">
        <v>187</v>
      </c>
    </row>
    <row r="492" spans="2:11" ht="15.5">
      <c r="B492" s="380" t="s">
        <v>587</v>
      </c>
      <c r="C492" s="382" t="s">
        <v>187</v>
      </c>
      <c r="D492" s="382" t="s">
        <v>187</v>
      </c>
      <c r="E492" s="382" t="s">
        <v>187</v>
      </c>
      <c r="F492" s="382" t="s">
        <v>187</v>
      </c>
      <c r="G492" s="382" t="s">
        <v>187</v>
      </c>
      <c r="H492" s="382" t="s">
        <v>187</v>
      </c>
      <c r="I492" s="376" t="s">
        <v>187</v>
      </c>
      <c r="J492" s="376" t="s">
        <v>187</v>
      </c>
      <c r="K492" s="377" t="s">
        <v>187</v>
      </c>
    </row>
    <row r="493" spans="2:11" ht="15.5">
      <c r="B493" s="380"/>
      <c r="C493" s="385"/>
      <c r="D493" s="385"/>
      <c r="E493" s="385"/>
      <c r="F493" s="385"/>
      <c r="G493" s="385"/>
      <c r="H493" s="385"/>
      <c r="I493" s="385"/>
      <c r="J493" s="385"/>
      <c r="K493" s="394"/>
    </row>
    <row r="494" spans="2:11" ht="15">
      <c r="B494" s="372" t="s">
        <v>588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589</v>
      </c>
      <c r="C495" s="382">
        <v>19.899999999999999</v>
      </c>
      <c r="D495" s="383">
        <v>9.6999999999999993</v>
      </c>
      <c r="E495" s="382">
        <v>10.199999999999999</v>
      </c>
      <c r="F495" s="382">
        <v>19.899999999999999</v>
      </c>
      <c r="G495" s="383">
        <v>9.6999999999999993</v>
      </c>
      <c r="H495" s="382">
        <v>10.199999999999999</v>
      </c>
      <c r="I495" s="376" t="s">
        <v>187</v>
      </c>
      <c r="J495" s="376" t="s">
        <v>187</v>
      </c>
      <c r="K495" s="377" t="s">
        <v>187</v>
      </c>
    </row>
    <row r="496" spans="2:11" ht="15.5">
      <c r="B496" s="380"/>
      <c r="C496" s="392"/>
      <c r="D496" s="392"/>
      <c r="E496" s="392"/>
      <c r="F496" s="392"/>
      <c r="G496" s="392"/>
      <c r="H496" s="392"/>
      <c r="I496" s="392"/>
      <c r="J496" s="392"/>
      <c r="K496" s="393"/>
    </row>
    <row r="497" spans="2:11" ht="15">
      <c r="B497" s="372" t="s">
        <v>590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591</v>
      </c>
      <c r="C498" s="382">
        <v>30.8</v>
      </c>
      <c r="D498" s="383">
        <v>15.2</v>
      </c>
      <c r="E498" s="382">
        <v>15.600000000000001</v>
      </c>
      <c r="F498" s="382">
        <v>30.8</v>
      </c>
      <c r="G498" s="383">
        <v>15.2</v>
      </c>
      <c r="H498" s="382">
        <v>15.600000000000001</v>
      </c>
      <c r="I498" s="376" t="s">
        <v>187</v>
      </c>
      <c r="J498" s="376" t="s">
        <v>187</v>
      </c>
      <c r="K498" s="377" t="s">
        <v>187</v>
      </c>
    </row>
    <row r="499" spans="2:11" ht="15.5">
      <c r="B499" s="380"/>
      <c r="C499" s="392"/>
      <c r="D499" s="392"/>
      <c r="E499" s="392"/>
      <c r="F499" s="392"/>
      <c r="G499" s="392"/>
      <c r="H499" s="392"/>
      <c r="I499" s="392"/>
      <c r="J499" s="392"/>
      <c r="K499" s="393"/>
    </row>
    <row r="500" spans="2:11" ht="15">
      <c r="B500" s="372" t="s">
        <v>592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593</v>
      </c>
      <c r="C501" s="382">
        <v>27.2</v>
      </c>
      <c r="D501" s="383">
        <v>13.4</v>
      </c>
      <c r="E501" s="382">
        <v>13.799999999999999</v>
      </c>
      <c r="F501" s="382">
        <v>27.2</v>
      </c>
      <c r="G501" s="383">
        <v>13.4</v>
      </c>
      <c r="H501" s="382">
        <v>13.799999999999999</v>
      </c>
      <c r="I501" s="376" t="s">
        <v>187</v>
      </c>
      <c r="J501" s="376" t="s">
        <v>187</v>
      </c>
      <c r="K501" s="377" t="s">
        <v>187</v>
      </c>
    </row>
    <row r="502" spans="2:11" ht="15.5">
      <c r="B502" s="380" t="s">
        <v>594</v>
      </c>
      <c r="C502" s="382">
        <v>0</v>
      </c>
      <c r="D502" s="383">
        <v>0</v>
      </c>
      <c r="E502" s="382">
        <v>0</v>
      </c>
      <c r="F502" s="382">
        <v>0</v>
      </c>
      <c r="G502" s="383">
        <v>0</v>
      </c>
      <c r="H502" s="382">
        <v>0</v>
      </c>
      <c r="I502" s="376" t="s">
        <v>187</v>
      </c>
      <c r="J502" s="376" t="s">
        <v>187</v>
      </c>
      <c r="K502" s="377" t="s">
        <v>187</v>
      </c>
    </row>
    <row r="503" spans="2:11" ht="15.5">
      <c r="B503" s="380" t="s">
        <v>595</v>
      </c>
      <c r="C503" s="382">
        <v>2.5</v>
      </c>
      <c r="D503" s="383">
        <v>1.2</v>
      </c>
      <c r="E503" s="382">
        <v>1.3</v>
      </c>
      <c r="F503" s="382">
        <v>2.5</v>
      </c>
      <c r="G503" s="383">
        <v>1.2</v>
      </c>
      <c r="H503" s="382">
        <v>1.3</v>
      </c>
      <c r="I503" s="376" t="s">
        <v>187</v>
      </c>
      <c r="J503" s="376" t="s">
        <v>187</v>
      </c>
      <c r="K503" s="377" t="s">
        <v>187</v>
      </c>
    </row>
    <row r="504" spans="2:11" ht="15.5">
      <c r="B504" s="380" t="s">
        <v>300</v>
      </c>
      <c r="C504" s="382">
        <v>1.2</v>
      </c>
      <c r="D504" s="383">
        <v>0.6</v>
      </c>
      <c r="E504" s="382">
        <v>0.6</v>
      </c>
      <c r="F504" s="382">
        <v>1.2</v>
      </c>
      <c r="G504" s="383">
        <v>0.6</v>
      </c>
      <c r="H504" s="382">
        <v>0.6</v>
      </c>
      <c r="I504" s="376" t="s">
        <v>187</v>
      </c>
      <c r="J504" s="376" t="s">
        <v>187</v>
      </c>
      <c r="K504" s="377" t="s">
        <v>187</v>
      </c>
    </row>
    <row r="505" spans="2:11" ht="15.5">
      <c r="B505" s="380" t="s">
        <v>596</v>
      </c>
      <c r="C505" s="382">
        <v>5.7</v>
      </c>
      <c r="D505" s="383">
        <v>2.6</v>
      </c>
      <c r="E505" s="382">
        <v>3.1</v>
      </c>
      <c r="F505" s="382">
        <v>5.7</v>
      </c>
      <c r="G505" s="383">
        <v>2.6</v>
      </c>
      <c r="H505" s="382">
        <v>3.1</v>
      </c>
      <c r="I505" s="376" t="s">
        <v>187</v>
      </c>
      <c r="J505" s="376" t="s">
        <v>187</v>
      </c>
      <c r="K505" s="377" t="s">
        <v>187</v>
      </c>
    </row>
    <row r="506" spans="2:11" ht="15.5">
      <c r="B506" s="380" t="s">
        <v>597</v>
      </c>
      <c r="C506" s="382">
        <v>1.1000000000000001</v>
      </c>
      <c r="D506" s="383">
        <v>0.6</v>
      </c>
      <c r="E506" s="382">
        <v>0.50000000000000011</v>
      </c>
      <c r="F506" s="382">
        <v>1.1000000000000001</v>
      </c>
      <c r="G506" s="383">
        <v>0.6</v>
      </c>
      <c r="H506" s="382">
        <v>0.50000000000000011</v>
      </c>
      <c r="I506" s="376" t="s">
        <v>187</v>
      </c>
      <c r="J506" s="376" t="s">
        <v>187</v>
      </c>
      <c r="K506" s="377" t="s">
        <v>187</v>
      </c>
    </row>
    <row r="507" spans="2:11" ht="15.5">
      <c r="B507" s="380"/>
      <c r="C507" s="404"/>
      <c r="D507" s="404"/>
      <c r="E507" s="404"/>
      <c r="F507" s="404"/>
      <c r="G507" s="404"/>
      <c r="H507" s="404"/>
      <c r="I507" s="404"/>
      <c r="J507" s="404"/>
      <c r="K507" s="405"/>
    </row>
    <row r="508" spans="2:11" ht="15">
      <c r="B508" s="372" t="s">
        <v>598</v>
      </c>
      <c r="C508" s="381">
        <v>86.6</v>
      </c>
      <c r="D508" s="381">
        <v>42.5</v>
      </c>
      <c r="E508" s="381">
        <v>44.099999999999994</v>
      </c>
      <c r="F508" s="381">
        <v>86.6</v>
      </c>
      <c r="G508" s="381">
        <v>42.5</v>
      </c>
      <c r="H508" s="381">
        <v>44.099999999999994</v>
      </c>
      <c r="I508" s="376" t="s">
        <v>187</v>
      </c>
      <c r="J508" s="376" t="s">
        <v>187</v>
      </c>
      <c r="K508" s="377" t="s">
        <v>187</v>
      </c>
    </row>
    <row r="509" spans="2:11" ht="15.5">
      <c r="B509" s="380" t="s">
        <v>599</v>
      </c>
      <c r="C509" s="382">
        <v>81.599999999999994</v>
      </c>
      <c r="D509" s="383">
        <v>40</v>
      </c>
      <c r="E509" s="382">
        <v>41.599999999999994</v>
      </c>
      <c r="F509" s="382">
        <v>81.599999999999994</v>
      </c>
      <c r="G509" s="383">
        <v>40</v>
      </c>
      <c r="H509" s="382">
        <v>41.599999999999994</v>
      </c>
      <c r="I509" s="376" t="s">
        <v>187</v>
      </c>
      <c r="J509" s="376" t="s">
        <v>187</v>
      </c>
      <c r="K509" s="377" t="s">
        <v>187</v>
      </c>
    </row>
    <row r="510" spans="2:11" ht="15.5">
      <c r="B510" s="380" t="s">
        <v>600</v>
      </c>
      <c r="C510" s="382">
        <v>2.5</v>
      </c>
      <c r="D510" s="383">
        <v>1.3</v>
      </c>
      <c r="E510" s="382">
        <v>1.2</v>
      </c>
      <c r="F510" s="382">
        <v>2.5</v>
      </c>
      <c r="G510" s="383">
        <v>1.3</v>
      </c>
      <c r="H510" s="382">
        <v>1.2</v>
      </c>
      <c r="I510" s="376" t="s">
        <v>187</v>
      </c>
      <c r="J510" s="376" t="s">
        <v>187</v>
      </c>
      <c r="K510" s="377" t="s">
        <v>187</v>
      </c>
    </row>
    <row r="511" spans="2:11" ht="15.5">
      <c r="B511" s="380" t="s">
        <v>601</v>
      </c>
      <c r="C511" s="382">
        <v>2.5</v>
      </c>
      <c r="D511" s="383">
        <v>1.2</v>
      </c>
      <c r="E511" s="382">
        <v>1.3</v>
      </c>
      <c r="F511" s="382">
        <v>2.5</v>
      </c>
      <c r="G511" s="383">
        <v>1.2</v>
      </c>
      <c r="H511" s="382">
        <v>1.3</v>
      </c>
      <c r="I511" s="376" t="s">
        <v>187</v>
      </c>
      <c r="J511" s="376" t="s">
        <v>187</v>
      </c>
      <c r="K511" s="377" t="s">
        <v>187</v>
      </c>
    </row>
    <row r="512" spans="2:11" ht="15.5">
      <c r="B512" s="380"/>
      <c r="C512" s="385"/>
      <c r="D512" s="385"/>
      <c r="E512" s="385"/>
      <c r="F512" s="385"/>
      <c r="G512" s="385"/>
      <c r="H512" s="385"/>
      <c r="I512" s="385"/>
      <c r="J512" s="385"/>
      <c r="K512" s="394"/>
    </row>
    <row r="513" spans="1:11" ht="15">
      <c r="A513" s="106" t="s">
        <v>969</v>
      </c>
      <c r="B513" s="372" t="s">
        <v>602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281</v>
      </c>
      <c r="C514" s="373"/>
      <c r="D514" s="373"/>
      <c r="E514" s="373"/>
      <c r="F514" s="373"/>
      <c r="G514" s="373"/>
      <c r="H514" s="373"/>
      <c r="I514" s="373"/>
      <c r="J514" s="373"/>
      <c r="K514" s="379"/>
    </row>
    <row r="515" spans="1:11" ht="15">
      <c r="B515" s="372" t="s">
        <v>603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604</v>
      </c>
      <c r="C516" s="382">
        <v>10.8</v>
      </c>
      <c r="D516" s="383">
        <v>5.3</v>
      </c>
      <c r="E516" s="382">
        <v>5.5000000000000009</v>
      </c>
      <c r="F516" s="382">
        <v>10.8</v>
      </c>
      <c r="G516" s="383">
        <v>5.3</v>
      </c>
      <c r="H516" s="382">
        <v>5.5000000000000009</v>
      </c>
      <c r="I516" s="376" t="s">
        <v>187</v>
      </c>
      <c r="J516" s="376" t="s">
        <v>187</v>
      </c>
      <c r="K516" s="377" t="s">
        <v>187</v>
      </c>
    </row>
    <row r="517" spans="1:11" ht="15.5">
      <c r="B517" s="380" t="s">
        <v>605</v>
      </c>
      <c r="C517" s="382">
        <v>0.3</v>
      </c>
      <c r="D517" s="383">
        <v>0.2</v>
      </c>
      <c r="E517" s="382">
        <v>9.9999999999999978E-2</v>
      </c>
      <c r="F517" s="382">
        <v>0.3</v>
      </c>
      <c r="G517" s="383">
        <v>0.2</v>
      </c>
      <c r="H517" s="382">
        <v>9.9999999999999978E-2</v>
      </c>
      <c r="I517" s="376" t="s">
        <v>187</v>
      </c>
      <c r="J517" s="376" t="s">
        <v>187</v>
      </c>
      <c r="K517" s="377" t="s">
        <v>187</v>
      </c>
    </row>
    <row r="518" spans="1:11" ht="15.5">
      <c r="B518" s="380" t="s">
        <v>606</v>
      </c>
      <c r="C518" s="382">
        <v>0.5</v>
      </c>
      <c r="D518" s="383">
        <v>0.3</v>
      </c>
      <c r="E518" s="382">
        <v>0.2</v>
      </c>
      <c r="F518" s="382">
        <v>0.5</v>
      </c>
      <c r="G518" s="383">
        <v>0.3</v>
      </c>
      <c r="H518" s="382">
        <v>0.2</v>
      </c>
      <c r="I518" s="376" t="s">
        <v>187</v>
      </c>
      <c r="J518" s="376" t="s">
        <v>187</v>
      </c>
      <c r="K518" s="377" t="s">
        <v>187</v>
      </c>
    </row>
    <row r="519" spans="1:11" ht="15.5">
      <c r="B519" s="380" t="s">
        <v>607</v>
      </c>
      <c r="C519" s="382">
        <v>0.4</v>
      </c>
      <c r="D519" s="383">
        <v>0.2</v>
      </c>
      <c r="E519" s="382">
        <v>0.2</v>
      </c>
      <c r="F519" s="382">
        <v>0.4</v>
      </c>
      <c r="G519" s="383">
        <v>0.2</v>
      </c>
      <c r="H519" s="382">
        <v>0.2</v>
      </c>
      <c r="I519" s="376" t="s">
        <v>187</v>
      </c>
      <c r="J519" s="376" t="s">
        <v>187</v>
      </c>
      <c r="K519" s="377" t="s">
        <v>187</v>
      </c>
    </row>
    <row r="520" spans="1:11" ht="15.5">
      <c r="B520" s="380" t="s">
        <v>608</v>
      </c>
      <c r="C520" s="382">
        <v>1.3</v>
      </c>
      <c r="D520" s="383">
        <v>0.6</v>
      </c>
      <c r="E520" s="382">
        <v>0.70000000000000007</v>
      </c>
      <c r="F520" s="382">
        <v>1.3</v>
      </c>
      <c r="G520" s="383">
        <v>0.6</v>
      </c>
      <c r="H520" s="382">
        <v>0.70000000000000007</v>
      </c>
      <c r="I520" s="376" t="s">
        <v>187</v>
      </c>
      <c r="J520" s="376" t="s">
        <v>187</v>
      </c>
      <c r="K520" s="377" t="s">
        <v>187</v>
      </c>
    </row>
    <row r="521" spans="1:11" ht="15.5">
      <c r="B521" s="380"/>
      <c r="C521" s="374"/>
      <c r="D521" s="374"/>
      <c r="E521" s="374"/>
      <c r="F521" s="374"/>
      <c r="G521" s="374"/>
      <c r="H521" s="374"/>
      <c r="I521" s="374"/>
      <c r="J521" s="374"/>
      <c r="K521" s="375"/>
    </row>
    <row r="522" spans="1:11" ht="15">
      <c r="B522" s="372" t="s">
        <v>609</v>
      </c>
      <c r="C522" s="381">
        <v>132.4</v>
      </c>
      <c r="D522" s="381">
        <v>64.8</v>
      </c>
      <c r="E522" s="381">
        <v>67.600000000000009</v>
      </c>
      <c r="F522" s="381">
        <v>31.9</v>
      </c>
      <c r="G522" s="390">
        <v>15.4</v>
      </c>
      <c r="H522" s="381">
        <v>16.5</v>
      </c>
      <c r="I522" s="381">
        <v>100.5</v>
      </c>
      <c r="J522" s="381">
        <v>49.4</v>
      </c>
      <c r="K522" s="388">
        <v>51.1</v>
      </c>
    </row>
    <row r="523" spans="1:11" ht="15.5">
      <c r="B523" s="380" t="s">
        <v>610</v>
      </c>
      <c r="C523" s="382">
        <v>24.3</v>
      </c>
      <c r="D523" s="383">
        <v>11.8</v>
      </c>
      <c r="E523" s="382">
        <v>12.5</v>
      </c>
      <c r="F523" s="382">
        <v>24.3</v>
      </c>
      <c r="G523" s="383">
        <v>11.8</v>
      </c>
      <c r="H523" s="382">
        <v>12.5</v>
      </c>
      <c r="I523" s="376" t="s">
        <v>187</v>
      </c>
      <c r="J523" s="376" t="s">
        <v>187</v>
      </c>
      <c r="K523" s="377" t="s">
        <v>187</v>
      </c>
    </row>
    <row r="524" spans="1:11" ht="15.5">
      <c r="B524" s="380" t="s">
        <v>611</v>
      </c>
      <c r="C524" s="382">
        <v>7.6</v>
      </c>
      <c r="D524" s="383">
        <v>3.6</v>
      </c>
      <c r="E524" s="382">
        <v>3.9999999999999996</v>
      </c>
      <c r="F524" s="382">
        <v>7.6</v>
      </c>
      <c r="G524" s="383">
        <v>3.6</v>
      </c>
      <c r="H524" s="382">
        <v>3.9999999999999996</v>
      </c>
      <c r="I524" s="376" t="s">
        <v>187</v>
      </c>
      <c r="J524" s="376" t="s">
        <v>187</v>
      </c>
      <c r="K524" s="377" t="s">
        <v>187</v>
      </c>
    </row>
    <row r="525" spans="1:11" ht="15.5">
      <c r="B525" s="380" t="s">
        <v>612</v>
      </c>
      <c r="C525" s="382" t="s">
        <v>187</v>
      </c>
      <c r="D525" s="382" t="s">
        <v>187</v>
      </c>
      <c r="E525" s="382" t="s">
        <v>187</v>
      </c>
      <c r="F525" s="382" t="s">
        <v>187</v>
      </c>
      <c r="G525" s="382" t="s">
        <v>187</v>
      </c>
      <c r="H525" s="382" t="s">
        <v>187</v>
      </c>
      <c r="I525" s="376" t="s">
        <v>187</v>
      </c>
      <c r="J525" s="376" t="s">
        <v>187</v>
      </c>
      <c r="K525" s="377" t="s">
        <v>187</v>
      </c>
    </row>
    <row r="526" spans="1:11" ht="15.5">
      <c r="B526" s="380" t="s">
        <v>613</v>
      </c>
      <c r="C526" s="382" t="s">
        <v>187</v>
      </c>
      <c r="D526" s="382" t="s">
        <v>187</v>
      </c>
      <c r="E526" s="382" t="s">
        <v>187</v>
      </c>
      <c r="F526" s="382" t="s">
        <v>187</v>
      </c>
      <c r="G526" s="382" t="s">
        <v>187</v>
      </c>
      <c r="H526" s="382" t="s">
        <v>187</v>
      </c>
      <c r="I526" s="376" t="s">
        <v>187</v>
      </c>
      <c r="J526" s="376" t="s">
        <v>187</v>
      </c>
      <c r="K526" s="377" t="s">
        <v>187</v>
      </c>
    </row>
    <row r="527" spans="1:11" ht="15.5">
      <c r="B527" s="380" t="s">
        <v>614</v>
      </c>
      <c r="C527" s="382" t="s">
        <v>187</v>
      </c>
      <c r="D527" s="382" t="s">
        <v>187</v>
      </c>
      <c r="E527" s="382" t="s">
        <v>187</v>
      </c>
      <c r="F527" s="382" t="s">
        <v>187</v>
      </c>
      <c r="G527" s="382" t="s">
        <v>187</v>
      </c>
      <c r="H527" s="382" t="s">
        <v>187</v>
      </c>
      <c r="I527" s="376" t="s">
        <v>187</v>
      </c>
      <c r="J527" s="376" t="s">
        <v>187</v>
      </c>
      <c r="K527" s="377" t="s">
        <v>187</v>
      </c>
    </row>
    <row r="528" spans="1:11" ht="15.5">
      <c r="B528" s="380" t="s">
        <v>615</v>
      </c>
      <c r="C528" s="382" t="s">
        <v>187</v>
      </c>
      <c r="D528" s="382" t="s">
        <v>187</v>
      </c>
      <c r="E528" s="382" t="s">
        <v>187</v>
      </c>
      <c r="F528" s="382" t="s">
        <v>187</v>
      </c>
      <c r="G528" s="382" t="s">
        <v>187</v>
      </c>
      <c r="H528" s="382" t="s">
        <v>187</v>
      </c>
      <c r="I528" s="376" t="s">
        <v>187</v>
      </c>
      <c r="J528" s="376" t="s">
        <v>187</v>
      </c>
      <c r="K528" s="377" t="s">
        <v>187</v>
      </c>
    </row>
    <row r="529" spans="2:11" ht="15.5">
      <c r="B529" s="380" t="s">
        <v>616</v>
      </c>
      <c r="C529" s="382" t="s">
        <v>187</v>
      </c>
      <c r="D529" s="382" t="s">
        <v>187</v>
      </c>
      <c r="E529" s="382" t="s">
        <v>187</v>
      </c>
      <c r="F529" s="382" t="s">
        <v>187</v>
      </c>
      <c r="G529" s="382" t="s">
        <v>187</v>
      </c>
      <c r="H529" s="382" t="s">
        <v>187</v>
      </c>
      <c r="I529" s="376" t="s">
        <v>187</v>
      </c>
      <c r="J529" s="376" t="s">
        <v>187</v>
      </c>
      <c r="K529" s="377" t="s">
        <v>187</v>
      </c>
    </row>
    <row r="530" spans="2:11" ht="15.5">
      <c r="B530" s="380" t="s">
        <v>617</v>
      </c>
      <c r="C530" s="382" t="s">
        <v>187</v>
      </c>
      <c r="D530" s="382" t="s">
        <v>187</v>
      </c>
      <c r="E530" s="382" t="s">
        <v>187</v>
      </c>
      <c r="F530" s="382" t="s">
        <v>187</v>
      </c>
      <c r="G530" s="382" t="s">
        <v>187</v>
      </c>
      <c r="H530" s="382" t="s">
        <v>187</v>
      </c>
      <c r="I530" s="376" t="s">
        <v>187</v>
      </c>
      <c r="J530" s="376" t="s">
        <v>187</v>
      </c>
      <c r="K530" s="377" t="s">
        <v>187</v>
      </c>
    </row>
    <row r="531" spans="2:11" ht="15.5">
      <c r="B531" s="380" t="s">
        <v>618</v>
      </c>
      <c r="C531" s="382" t="s">
        <v>187</v>
      </c>
      <c r="D531" s="382" t="s">
        <v>187</v>
      </c>
      <c r="E531" s="382" t="s">
        <v>187</v>
      </c>
      <c r="F531" s="382" t="s">
        <v>187</v>
      </c>
      <c r="G531" s="382" t="s">
        <v>187</v>
      </c>
      <c r="H531" s="382" t="s">
        <v>187</v>
      </c>
      <c r="I531" s="376" t="s">
        <v>187</v>
      </c>
      <c r="J531" s="376" t="s">
        <v>187</v>
      </c>
      <c r="K531" s="377" t="s">
        <v>187</v>
      </c>
    </row>
    <row r="532" spans="2:11" ht="15.5">
      <c r="B532" s="380" t="s">
        <v>619</v>
      </c>
      <c r="C532" s="382" t="s">
        <v>187</v>
      </c>
      <c r="D532" s="382" t="s">
        <v>187</v>
      </c>
      <c r="E532" s="382" t="s">
        <v>187</v>
      </c>
      <c r="F532" s="382" t="s">
        <v>187</v>
      </c>
      <c r="G532" s="382" t="s">
        <v>187</v>
      </c>
      <c r="H532" s="382" t="s">
        <v>187</v>
      </c>
      <c r="I532" s="376" t="s">
        <v>187</v>
      </c>
      <c r="J532" s="376" t="s">
        <v>187</v>
      </c>
      <c r="K532" s="377" t="s">
        <v>187</v>
      </c>
    </row>
    <row r="533" spans="2:11" ht="15.5">
      <c r="B533" s="380" t="s">
        <v>620</v>
      </c>
      <c r="C533" s="382" t="s">
        <v>187</v>
      </c>
      <c r="D533" s="382" t="s">
        <v>187</v>
      </c>
      <c r="E533" s="382" t="s">
        <v>187</v>
      </c>
      <c r="F533" s="382" t="s">
        <v>187</v>
      </c>
      <c r="G533" s="382" t="s">
        <v>187</v>
      </c>
      <c r="H533" s="382" t="s">
        <v>187</v>
      </c>
      <c r="I533" s="376" t="s">
        <v>187</v>
      </c>
      <c r="J533" s="376" t="s">
        <v>187</v>
      </c>
      <c r="K533" s="377" t="s">
        <v>187</v>
      </c>
    </row>
    <row r="534" spans="2:11" ht="15.5">
      <c r="B534" s="380" t="s">
        <v>621</v>
      </c>
      <c r="C534" s="382" t="s">
        <v>187</v>
      </c>
      <c r="D534" s="382" t="s">
        <v>187</v>
      </c>
      <c r="E534" s="382" t="s">
        <v>187</v>
      </c>
      <c r="F534" s="382" t="s">
        <v>187</v>
      </c>
      <c r="G534" s="382" t="s">
        <v>187</v>
      </c>
      <c r="H534" s="382" t="s">
        <v>187</v>
      </c>
      <c r="I534" s="376" t="s">
        <v>187</v>
      </c>
      <c r="J534" s="376" t="s">
        <v>187</v>
      </c>
      <c r="K534" s="377" t="s">
        <v>187</v>
      </c>
    </row>
    <row r="535" spans="2:11" ht="15.5">
      <c r="B535" s="380" t="s">
        <v>622</v>
      </c>
      <c r="C535" s="382" t="s">
        <v>187</v>
      </c>
      <c r="D535" s="382" t="s">
        <v>187</v>
      </c>
      <c r="E535" s="382" t="s">
        <v>187</v>
      </c>
      <c r="F535" s="382" t="s">
        <v>187</v>
      </c>
      <c r="G535" s="382" t="s">
        <v>187</v>
      </c>
      <c r="H535" s="382" t="s">
        <v>187</v>
      </c>
      <c r="I535" s="376" t="s">
        <v>187</v>
      </c>
      <c r="J535" s="376" t="s">
        <v>187</v>
      </c>
      <c r="K535" s="377" t="s">
        <v>187</v>
      </c>
    </row>
    <row r="536" spans="2:11" ht="15.5">
      <c r="B536" s="380" t="s">
        <v>623</v>
      </c>
      <c r="C536" s="382" t="s">
        <v>187</v>
      </c>
      <c r="D536" s="382" t="s">
        <v>187</v>
      </c>
      <c r="E536" s="382" t="s">
        <v>187</v>
      </c>
      <c r="F536" s="382" t="s">
        <v>187</v>
      </c>
      <c r="G536" s="382" t="s">
        <v>187</v>
      </c>
      <c r="H536" s="382" t="s">
        <v>187</v>
      </c>
      <c r="I536" s="376" t="s">
        <v>187</v>
      </c>
      <c r="J536" s="376" t="s">
        <v>187</v>
      </c>
      <c r="K536" s="377" t="s">
        <v>187</v>
      </c>
    </row>
    <row r="537" spans="2:11" ht="15.5">
      <c r="B537" s="380" t="s">
        <v>624</v>
      </c>
      <c r="C537" s="382" t="s">
        <v>187</v>
      </c>
      <c r="D537" s="382" t="s">
        <v>187</v>
      </c>
      <c r="E537" s="382" t="s">
        <v>187</v>
      </c>
      <c r="F537" s="382" t="s">
        <v>187</v>
      </c>
      <c r="G537" s="382" t="s">
        <v>187</v>
      </c>
      <c r="H537" s="382" t="s">
        <v>187</v>
      </c>
      <c r="I537" s="376" t="s">
        <v>187</v>
      </c>
      <c r="J537" s="376" t="s">
        <v>187</v>
      </c>
      <c r="K537" s="377" t="s">
        <v>187</v>
      </c>
    </row>
    <row r="538" spans="2:11" ht="15.5">
      <c r="B538" s="380" t="s">
        <v>625</v>
      </c>
      <c r="C538" s="382" t="s">
        <v>187</v>
      </c>
      <c r="D538" s="382" t="s">
        <v>187</v>
      </c>
      <c r="E538" s="382" t="s">
        <v>187</v>
      </c>
      <c r="F538" s="382" t="s">
        <v>187</v>
      </c>
      <c r="G538" s="382" t="s">
        <v>187</v>
      </c>
      <c r="H538" s="382" t="s">
        <v>187</v>
      </c>
      <c r="I538" s="376" t="s">
        <v>187</v>
      </c>
      <c r="J538" s="376" t="s">
        <v>187</v>
      </c>
      <c r="K538" s="377" t="s">
        <v>187</v>
      </c>
    </row>
    <row r="539" spans="2:11" ht="15.5">
      <c r="B539" s="380" t="s">
        <v>626</v>
      </c>
      <c r="C539" s="382" t="s">
        <v>187</v>
      </c>
      <c r="D539" s="382" t="s">
        <v>187</v>
      </c>
      <c r="E539" s="382" t="s">
        <v>187</v>
      </c>
      <c r="F539" s="382" t="s">
        <v>187</v>
      </c>
      <c r="G539" s="382" t="s">
        <v>187</v>
      </c>
      <c r="H539" s="382" t="s">
        <v>187</v>
      </c>
      <c r="I539" s="376" t="s">
        <v>187</v>
      </c>
      <c r="J539" s="376" t="s">
        <v>187</v>
      </c>
      <c r="K539" s="377" t="s">
        <v>187</v>
      </c>
    </row>
    <row r="540" spans="2:11" ht="15.5">
      <c r="B540" s="380" t="s">
        <v>627</v>
      </c>
      <c r="C540" s="382" t="s">
        <v>187</v>
      </c>
      <c r="D540" s="382" t="s">
        <v>187</v>
      </c>
      <c r="E540" s="382" t="s">
        <v>187</v>
      </c>
      <c r="F540" s="381" t="s">
        <v>187</v>
      </c>
      <c r="G540" s="381" t="s">
        <v>187</v>
      </c>
      <c r="H540" s="381" t="s">
        <v>187</v>
      </c>
      <c r="I540" s="376" t="s">
        <v>187</v>
      </c>
      <c r="J540" s="376" t="s">
        <v>187</v>
      </c>
      <c r="K540" s="377" t="s">
        <v>187</v>
      </c>
    </row>
    <row r="541" spans="2:11" ht="15.5">
      <c r="B541" s="380"/>
      <c r="C541" s="404"/>
      <c r="D541" s="404"/>
      <c r="E541" s="404"/>
      <c r="F541" s="404"/>
      <c r="G541" s="404"/>
      <c r="H541" s="404"/>
      <c r="I541" s="404"/>
      <c r="J541" s="404"/>
      <c r="K541" s="405"/>
    </row>
    <row r="542" spans="2:11" ht="15">
      <c r="B542" s="372" t="s">
        <v>628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629</v>
      </c>
      <c r="C543" s="382">
        <v>42.4</v>
      </c>
      <c r="D543" s="383">
        <v>20.399999999999999</v>
      </c>
      <c r="E543" s="382">
        <v>22</v>
      </c>
      <c r="F543" s="382">
        <v>42.4</v>
      </c>
      <c r="G543" s="383">
        <v>20.399999999999999</v>
      </c>
      <c r="H543" s="382">
        <v>22</v>
      </c>
      <c r="I543" s="376" t="s">
        <v>187</v>
      </c>
      <c r="J543" s="376" t="s">
        <v>187</v>
      </c>
      <c r="K543" s="377" t="s">
        <v>187</v>
      </c>
    </row>
    <row r="544" spans="2:11" ht="15.5">
      <c r="B544" s="380" t="s">
        <v>630</v>
      </c>
      <c r="C544" s="382">
        <v>3.1</v>
      </c>
      <c r="D544" s="383">
        <v>1.6</v>
      </c>
      <c r="E544" s="382">
        <v>1.5</v>
      </c>
      <c r="F544" s="382">
        <v>3.1</v>
      </c>
      <c r="G544" s="383">
        <v>1.6</v>
      </c>
      <c r="H544" s="382">
        <v>1.5</v>
      </c>
      <c r="I544" s="376" t="s">
        <v>187</v>
      </c>
      <c r="J544" s="376" t="s">
        <v>187</v>
      </c>
      <c r="K544" s="377" t="s">
        <v>187</v>
      </c>
    </row>
    <row r="545" spans="2:11" ht="15.5">
      <c r="B545" s="380" t="s">
        <v>631</v>
      </c>
      <c r="C545" s="382" t="s">
        <v>187</v>
      </c>
      <c r="D545" s="382" t="s">
        <v>187</v>
      </c>
      <c r="E545" s="382" t="s">
        <v>187</v>
      </c>
      <c r="F545" s="382" t="s">
        <v>187</v>
      </c>
      <c r="G545" s="382" t="s">
        <v>187</v>
      </c>
      <c r="H545" s="382" t="s">
        <v>187</v>
      </c>
      <c r="I545" s="376" t="s">
        <v>187</v>
      </c>
      <c r="J545" s="376" t="s">
        <v>187</v>
      </c>
      <c r="K545" s="377" t="s">
        <v>187</v>
      </c>
    </row>
    <row r="546" spans="2:11" ht="15.5">
      <c r="B546" s="380" t="s">
        <v>632</v>
      </c>
      <c r="C546" s="382" t="s">
        <v>187</v>
      </c>
      <c r="D546" s="382" t="s">
        <v>187</v>
      </c>
      <c r="E546" s="382" t="s">
        <v>187</v>
      </c>
      <c r="F546" s="382" t="s">
        <v>187</v>
      </c>
      <c r="G546" s="382" t="s">
        <v>187</v>
      </c>
      <c r="H546" s="382" t="s">
        <v>187</v>
      </c>
      <c r="I546" s="376" t="s">
        <v>187</v>
      </c>
      <c r="J546" s="376" t="s">
        <v>187</v>
      </c>
      <c r="K546" s="377" t="s">
        <v>187</v>
      </c>
    </row>
    <row r="547" spans="2:11" ht="15.5">
      <c r="B547" s="380" t="s">
        <v>633</v>
      </c>
      <c r="C547" s="382" t="s">
        <v>187</v>
      </c>
      <c r="D547" s="382" t="s">
        <v>187</v>
      </c>
      <c r="E547" s="382" t="s">
        <v>187</v>
      </c>
      <c r="F547" s="382" t="s">
        <v>187</v>
      </c>
      <c r="G547" s="382" t="s">
        <v>187</v>
      </c>
      <c r="H547" s="382" t="s">
        <v>187</v>
      </c>
      <c r="I547" s="376" t="s">
        <v>187</v>
      </c>
      <c r="J547" s="376" t="s">
        <v>187</v>
      </c>
      <c r="K547" s="377" t="s">
        <v>187</v>
      </c>
    </row>
    <row r="548" spans="2:11" ht="15.5">
      <c r="B548" s="380" t="s">
        <v>634</v>
      </c>
      <c r="C548" s="382" t="s">
        <v>187</v>
      </c>
      <c r="D548" s="382" t="s">
        <v>187</v>
      </c>
      <c r="E548" s="382" t="s">
        <v>187</v>
      </c>
      <c r="F548" s="382" t="s">
        <v>187</v>
      </c>
      <c r="G548" s="382" t="s">
        <v>187</v>
      </c>
      <c r="H548" s="382" t="s">
        <v>187</v>
      </c>
      <c r="I548" s="376" t="s">
        <v>187</v>
      </c>
      <c r="J548" s="376" t="s">
        <v>187</v>
      </c>
      <c r="K548" s="377" t="s">
        <v>187</v>
      </c>
    </row>
    <row r="549" spans="2:11" ht="15.5">
      <c r="B549" s="380" t="s">
        <v>635</v>
      </c>
      <c r="C549" s="382" t="s">
        <v>187</v>
      </c>
      <c r="D549" s="382" t="s">
        <v>187</v>
      </c>
      <c r="E549" s="382" t="s">
        <v>187</v>
      </c>
      <c r="F549" s="382" t="s">
        <v>187</v>
      </c>
      <c r="G549" s="382" t="s">
        <v>187</v>
      </c>
      <c r="H549" s="382" t="s">
        <v>187</v>
      </c>
      <c r="I549" s="376" t="s">
        <v>187</v>
      </c>
      <c r="J549" s="376" t="s">
        <v>187</v>
      </c>
      <c r="K549" s="377" t="s">
        <v>187</v>
      </c>
    </row>
    <row r="550" spans="2:11" ht="15.5">
      <c r="B550" s="380" t="s">
        <v>636</v>
      </c>
      <c r="C550" s="382" t="s">
        <v>187</v>
      </c>
      <c r="D550" s="382" t="s">
        <v>187</v>
      </c>
      <c r="E550" s="382" t="s">
        <v>187</v>
      </c>
      <c r="F550" s="382" t="s">
        <v>187</v>
      </c>
      <c r="G550" s="382" t="s">
        <v>187</v>
      </c>
      <c r="H550" s="382" t="s">
        <v>187</v>
      </c>
      <c r="I550" s="376" t="s">
        <v>187</v>
      </c>
      <c r="J550" s="376" t="s">
        <v>187</v>
      </c>
      <c r="K550" s="377" t="s">
        <v>187</v>
      </c>
    </row>
    <row r="551" spans="2:11" ht="15.5">
      <c r="B551" s="380" t="s">
        <v>637</v>
      </c>
      <c r="C551" s="382" t="s">
        <v>187</v>
      </c>
      <c r="D551" s="382" t="s">
        <v>187</v>
      </c>
      <c r="E551" s="382" t="s">
        <v>187</v>
      </c>
      <c r="F551" s="382" t="s">
        <v>187</v>
      </c>
      <c r="G551" s="382" t="s">
        <v>187</v>
      </c>
      <c r="H551" s="382" t="s">
        <v>187</v>
      </c>
      <c r="I551" s="376" t="s">
        <v>187</v>
      </c>
      <c r="J551" s="376" t="s">
        <v>187</v>
      </c>
      <c r="K551" s="377" t="s">
        <v>187</v>
      </c>
    </row>
    <row r="552" spans="2:11" ht="15.5">
      <c r="B552" s="380" t="s">
        <v>638</v>
      </c>
      <c r="C552" s="382" t="s">
        <v>187</v>
      </c>
      <c r="D552" s="382" t="s">
        <v>187</v>
      </c>
      <c r="E552" s="382" t="s">
        <v>187</v>
      </c>
      <c r="F552" s="382" t="s">
        <v>187</v>
      </c>
      <c r="G552" s="382" t="s">
        <v>187</v>
      </c>
      <c r="H552" s="382" t="s">
        <v>187</v>
      </c>
      <c r="I552" s="376" t="s">
        <v>187</v>
      </c>
      <c r="J552" s="376" t="s">
        <v>187</v>
      </c>
      <c r="K552" s="377" t="s">
        <v>187</v>
      </c>
    </row>
    <row r="553" spans="2:11" ht="15.5">
      <c r="B553" s="380" t="s">
        <v>639</v>
      </c>
      <c r="C553" s="382" t="s">
        <v>187</v>
      </c>
      <c r="D553" s="382" t="s">
        <v>187</v>
      </c>
      <c r="E553" s="382" t="s">
        <v>187</v>
      </c>
      <c r="F553" s="382" t="s">
        <v>187</v>
      </c>
      <c r="G553" s="382" t="s">
        <v>187</v>
      </c>
      <c r="H553" s="382" t="s">
        <v>187</v>
      </c>
      <c r="I553" s="376" t="s">
        <v>187</v>
      </c>
      <c r="J553" s="376" t="s">
        <v>187</v>
      </c>
      <c r="K553" s="377" t="s">
        <v>187</v>
      </c>
    </row>
    <row r="554" spans="2:11" ht="15.5">
      <c r="B554" s="380" t="s">
        <v>640</v>
      </c>
      <c r="C554" s="382" t="s">
        <v>187</v>
      </c>
      <c r="D554" s="382" t="s">
        <v>187</v>
      </c>
      <c r="E554" s="382" t="s">
        <v>187</v>
      </c>
      <c r="F554" s="382" t="s">
        <v>187</v>
      </c>
      <c r="G554" s="382" t="s">
        <v>187</v>
      </c>
      <c r="H554" s="382" t="s">
        <v>187</v>
      </c>
      <c r="I554" s="376" t="s">
        <v>187</v>
      </c>
      <c r="J554" s="376" t="s">
        <v>187</v>
      </c>
      <c r="K554" s="377" t="s">
        <v>187</v>
      </c>
    </row>
    <row r="555" spans="2:11" ht="15.5">
      <c r="B555" s="380" t="s">
        <v>641</v>
      </c>
      <c r="C555" s="382" t="s">
        <v>187</v>
      </c>
      <c r="D555" s="382" t="s">
        <v>187</v>
      </c>
      <c r="E555" s="382" t="s">
        <v>187</v>
      </c>
      <c r="F555" s="382" t="s">
        <v>187</v>
      </c>
      <c r="G555" s="382" t="s">
        <v>187</v>
      </c>
      <c r="H555" s="382" t="s">
        <v>187</v>
      </c>
      <c r="I555" s="376" t="s">
        <v>187</v>
      </c>
      <c r="J555" s="376" t="s">
        <v>187</v>
      </c>
      <c r="K555" s="377" t="s">
        <v>187</v>
      </c>
    </row>
    <row r="556" spans="2:11" ht="15.5">
      <c r="B556" s="380" t="s">
        <v>642</v>
      </c>
      <c r="C556" s="382" t="s">
        <v>187</v>
      </c>
      <c r="D556" s="382" t="s">
        <v>187</v>
      </c>
      <c r="E556" s="382" t="s">
        <v>187</v>
      </c>
      <c r="F556" s="382" t="s">
        <v>187</v>
      </c>
      <c r="G556" s="382" t="s">
        <v>187</v>
      </c>
      <c r="H556" s="382" t="s">
        <v>187</v>
      </c>
      <c r="I556" s="376" t="s">
        <v>187</v>
      </c>
      <c r="J556" s="376" t="s">
        <v>187</v>
      </c>
      <c r="K556" s="377" t="s">
        <v>187</v>
      </c>
    </row>
    <row r="557" spans="2:11" ht="15.5">
      <c r="B557" s="380" t="s">
        <v>643</v>
      </c>
      <c r="C557" s="382" t="s">
        <v>187</v>
      </c>
      <c r="D557" s="382" t="s">
        <v>187</v>
      </c>
      <c r="E557" s="382" t="s">
        <v>187</v>
      </c>
      <c r="F557" s="382" t="s">
        <v>187</v>
      </c>
      <c r="G557" s="382" t="s">
        <v>187</v>
      </c>
      <c r="H557" s="382" t="s">
        <v>187</v>
      </c>
      <c r="I557" s="376" t="s">
        <v>187</v>
      </c>
      <c r="J557" s="376" t="s">
        <v>187</v>
      </c>
      <c r="K557" s="377" t="s">
        <v>187</v>
      </c>
    </row>
    <row r="558" spans="2:11" ht="15.5">
      <c r="B558" s="380"/>
      <c r="C558" s="409"/>
      <c r="D558" s="409"/>
      <c r="E558" s="409"/>
      <c r="F558" s="409"/>
      <c r="G558" s="409"/>
      <c r="H558" s="409"/>
      <c r="I558" s="409"/>
      <c r="J558" s="409"/>
      <c r="K558" s="410"/>
    </row>
    <row r="559" spans="2:11" ht="15">
      <c r="B559" s="372" t="s">
        <v>644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645</v>
      </c>
      <c r="C560" s="382">
        <v>19.899999999999999</v>
      </c>
      <c r="D560" s="383">
        <v>9.9</v>
      </c>
      <c r="E560" s="382">
        <v>9.9999999999999982</v>
      </c>
      <c r="F560" s="382">
        <v>19.899999999999999</v>
      </c>
      <c r="G560" s="383">
        <v>9.9</v>
      </c>
      <c r="H560" s="382">
        <v>9.9999999999999982</v>
      </c>
      <c r="I560" s="376" t="s">
        <v>187</v>
      </c>
      <c r="J560" s="376" t="s">
        <v>187</v>
      </c>
      <c r="K560" s="377" t="s">
        <v>187</v>
      </c>
    </row>
    <row r="561" spans="2:11" ht="15.5">
      <c r="B561" s="380" t="s">
        <v>646</v>
      </c>
      <c r="C561" s="382">
        <v>10.199999999999999</v>
      </c>
      <c r="D561" s="383">
        <v>4.9000000000000004</v>
      </c>
      <c r="E561" s="382">
        <v>5.2999999999999989</v>
      </c>
      <c r="F561" s="382">
        <v>10.199999999999999</v>
      </c>
      <c r="G561" s="383">
        <v>4.9000000000000004</v>
      </c>
      <c r="H561" s="382">
        <v>5.2999999999999989</v>
      </c>
      <c r="I561" s="376" t="s">
        <v>187</v>
      </c>
      <c r="J561" s="376" t="s">
        <v>187</v>
      </c>
      <c r="K561" s="377" t="s">
        <v>187</v>
      </c>
    </row>
    <row r="562" spans="2:11" ht="15.5">
      <c r="B562" s="380" t="s">
        <v>647</v>
      </c>
      <c r="C562" s="382">
        <v>0.1</v>
      </c>
      <c r="D562" s="383">
        <v>0</v>
      </c>
      <c r="E562" s="382">
        <v>0.1</v>
      </c>
      <c r="F562" s="382">
        <v>0.1</v>
      </c>
      <c r="G562" s="383">
        <v>0</v>
      </c>
      <c r="H562" s="382">
        <v>0.1</v>
      </c>
      <c r="I562" s="376" t="s">
        <v>187</v>
      </c>
      <c r="J562" s="376" t="s">
        <v>187</v>
      </c>
      <c r="K562" s="377" t="s">
        <v>187</v>
      </c>
    </row>
    <row r="563" spans="2:11" ht="15.5">
      <c r="B563" s="380"/>
      <c r="C563" s="374"/>
      <c r="D563" s="374"/>
      <c r="E563" s="374"/>
      <c r="F563" s="374"/>
      <c r="G563" s="374"/>
      <c r="H563" s="374"/>
      <c r="I563" s="374"/>
      <c r="J563" s="374"/>
      <c r="K563" s="375"/>
    </row>
    <row r="564" spans="2:11" ht="15">
      <c r="B564" s="372" t="s">
        <v>648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649</v>
      </c>
      <c r="C565" s="382">
        <v>8</v>
      </c>
      <c r="D565" s="383">
        <v>3.9</v>
      </c>
      <c r="E565" s="382">
        <v>4.0999999999999996</v>
      </c>
      <c r="F565" s="382">
        <v>8</v>
      </c>
      <c r="G565" s="383">
        <v>3.9</v>
      </c>
      <c r="H565" s="382">
        <v>4.0999999999999996</v>
      </c>
      <c r="I565" s="376" t="s">
        <v>187</v>
      </c>
      <c r="J565" s="376" t="s">
        <v>187</v>
      </c>
      <c r="K565" s="377" t="s">
        <v>187</v>
      </c>
    </row>
    <row r="566" spans="2:11" ht="15.5">
      <c r="B566" s="380" t="s">
        <v>650</v>
      </c>
      <c r="C566" s="382">
        <v>1.6</v>
      </c>
      <c r="D566" s="383">
        <v>0.8</v>
      </c>
      <c r="E566" s="382">
        <v>0.8</v>
      </c>
      <c r="F566" s="382">
        <v>1.6</v>
      </c>
      <c r="G566" s="383">
        <v>0.8</v>
      </c>
      <c r="H566" s="382">
        <v>0.8</v>
      </c>
      <c r="I566" s="376" t="s">
        <v>187</v>
      </c>
      <c r="J566" s="376" t="s">
        <v>187</v>
      </c>
      <c r="K566" s="377" t="s">
        <v>187</v>
      </c>
    </row>
    <row r="567" spans="2:11" ht="15.5">
      <c r="B567" s="380"/>
      <c r="C567" s="373"/>
      <c r="D567" s="373"/>
      <c r="E567" s="373"/>
      <c r="F567" s="373"/>
      <c r="G567" s="373"/>
      <c r="H567" s="373"/>
      <c r="I567" s="373"/>
      <c r="J567" s="373"/>
      <c r="K567" s="379"/>
    </row>
    <row r="568" spans="2:11" ht="15">
      <c r="B568" s="372" t="s">
        <v>651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652</v>
      </c>
      <c r="C569" s="382">
        <v>23.5</v>
      </c>
      <c r="D569" s="383">
        <v>11.3</v>
      </c>
      <c r="E569" s="382">
        <v>12.2</v>
      </c>
      <c r="F569" s="382">
        <v>23.5</v>
      </c>
      <c r="G569" s="383">
        <v>11.3</v>
      </c>
      <c r="H569" s="382">
        <v>12.2</v>
      </c>
      <c r="I569" s="376" t="s">
        <v>187</v>
      </c>
      <c r="J569" s="376" t="s">
        <v>187</v>
      </c>
      <c r="K569" s="377" t="s">
        <v>187</v>
      </c>
    </row>
    <row r="570" spans="2:11" ht="15.5">
      <c r="B570" s="380" t="s">
        <v>653</v>
      </c>
      <c r="C570" s="382">
        <v>1.3</v>
      </c>
      <c r="D570" s="383">
        <v>0.6</v>
      </c>
      <c r="E570" s="382">
        <v>0.70000000000000007</v>
      </c>
      <c r="F570" s="382">
        <v>1.3</v>
      </c>
      <c r="G570" s="383">
        <v>0.6</v>
      </c>
      <c r="H570" s="382">
        <v>0.70000000000000007</v>
      </c>
      <c r="I570" s="376" t="s">
        <v>187</v>
      </c>
      <c r="J570" s="376" t="s">
        <v>187</v>
      </c>
      <c r="K570" s="377" t="s">
        <v>187</v>
      </c>
    </row>
    <row r="571" spans="2:11" ht="15.5">
      <c r="B571" s="380"/>
      <c r="C571" s="392"/>
      <c r="D571" s="392"/>
      <c r="E571" s="392"/>
      <c r="F571" s="392"/>
      <c r="G571" s="392"/>
      <c r="H571" s="392"/>
      <c r="I571" s="392"/>
      <c r="J571" s="392"/>
      <c r="K571" s="393"/>
    </row>
    <row r="572" spans="2:11" ht="15">
      <c r="B572" s="372" t="s">
        <v>654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655</v>
      </c>
      <c r="C573" s="382">
        <v>5.9</v>
      </c>
      <c r="D573" s="383">
        <v>2.9</v>
      </c>
      <c r="E573" s="382">
        <v>3.0000000000000004</v>
      </c>
      <c r="F573" s="382">
        <v>5.9</v>
      </c>
      <c r="G573" s="383">
        <v>2.9</v>
      </c>
      <c r="H573" s="382">
        <v>3.0000000000000004</v>
      </c>
      <c r="I573" s="376" t="s">
        <v>187</v>
      </c>
      <c r="J573" s="376" t="s">
        <v>187</v>
      </c>
      <c r="K573" s="377" t="s">
        <v>187</v>
      </c>
    </row>
    <row r="574" spans="2:11" ht="15.5">
      <c r="B574" s="380" t="s">
        <v>656</v>
      </c>
      <c r="C574" s="382">
        <v>1.2</v>
      </c>
      <c r="D574" s="383">
        <v>0.6</v>
      </c>
      <c r="E574" s="382">
        <v>0.6</v>
      </c>
      <c r="F574" s="382">
        <v>1.2</v>
      </c>
      <c r="G574" s="383">
        <v>0.6</v>
      </c>
      <c r="H574" s="382">
        <v>0.6</v>
      </c>
      <c r="I574" s="376" t="s">
        <v>187</v>
      </c>
      <c r="J574" s="376" t="s">
        <v>187</v>
      </c>
      <c r="K574" s="377" t="s">
        <v>187</v>
      </c>
    </row>
    <row r="575" spans="2:11" ht="15.5">
      <c r="B575" s="380" t="s">
        <v>657</v>
      </c>
      <c r="C575" s="382">
        <v>2.5</v>
      </c>
      <c r="D575" s="383">
        <v>1.2</v>
      </c>
      <c r="E575" s="382">
        <v>1.3</v>
      </c>
      <c r="F575" s="382">
        <v>2.5</v>
      </c>
      <c r="G575" s="383">
        <v>1.2</v>
      </c>
      <c r="H575" s="382">
        <v>1.3</v>
      </c>
      <c r="I575" s="376" t="s">
        <v>187</v>
      </c>
      <c r="J575" s="376" t="s">
        <v>187</v>
      </c>
      <c r="K575" s="377" t="s">
        <v>187</v>
      </c>
    </row>
    <row r="576" spans="2:11" ht="15.5">
      <c r="B576" s="380"/>
      <c r="C576" s="385"/>
      <c r="D576" s="385"/>
      <c r="E576" s="385"/>
      <c r="F576" s="385"/>
      <c r="G576" s="385"/>
      <c r="H576" s="385"/>
      <c r="I576" s="385"/>
      <c r="J576" s="385"/>
      <c r="K576" s="394"/>
    </row>
    <row r="577" spans="1:11" ht="15">
      <c r="B577" s="372" t="s">
        <v>658</v>
      </c>
      <c r="C577" s="381">
        <v>55.8</v>
      </c>
      <c r="D577" s="381">
        <v>27</v>
      </c>
      <c r="E577" s="381">
        <v>28.799999999999997</v>
      </c>
      <c r="F577" s="381">
        <v>55.8</v>
      </c>
      <c r="G577" s="381">
        <v>27</v>
      </c>
      <c r="H577" s="381">
        <v>28.799999999999997</v>
      </c>
      <c r="I577" s="376" t="s">
        <v>187</v>
      </c>
      <c r="J577" s="376" t="s">
        <v>187</v>
      </c>
      <c r="K577" s="377" t="s">
        <v>187</v>
      </c>
    </row>
    <row r="578" spans="1:11" ht="15.5">
      <c r="B578" s="380" t="s">
        <v>659</v>
      </c>
      <c r="C578" s="382">
        <v>53.6</v>
      </c>
      <c r="D578" s="383">
        <v>26</v>
      </c>
      <c r="E578" s="382">
        <v>27.6</v>
      </c>
      <c r="F578" s="382">
        <v>53.6</v>
      </c>
      <c r="G578" s="383">
        <v>26</v>
      </c>
      <c r="H578" s="382">
        <v>27.6</v>
      </c>
      <c r="I578" s="376" t="s">
        <v>187</v>
      </c>
      <c r="J578" s="376" t="s">
        <v>187</v>
      </c>
      <c r="K578" s="377" t="s">
        <v>187</v>
      </c>
    </row>
    <row r="579" spans="1:11" ht="15.5">
      <c r="B579" s="380" t="s">
        <v>660</v>
      </c>
      <c r="C579" s="382">
        <v>2.2000000000000002</v>
      </c>
      <c r="D579" s="383">
        <v>1</v>
      </c>
      <c r="E579" s="382">
        <v>1.2000000000000002</v>
      </c>
      <c r="F579" s="382">
        <v>2.2000000000000002</v>
      </c>
      <c r="G579" s="383">
        <v>1</v>
      </c>
      <c r="H579" s="382">
        <v>1.2000000000000002</v>
      </c>
      <c r="I579" s="376" t="s">
        <v>187</v>
      </c>
      <c r="J579" s="376" t="s">
        <v>187</v>
      </c>
      <c r="K579" s="377" t="s">
        <v>187</v>
      </c>
    </row>
    <row r="580" spans="1:11" ht="15.5">
      <c r="B580" s="380"/>
      <c r="C580" s="404"/>
      <c r="D580" s="404"/>
      <c r="E580" s="404"/>
      <c r="F580" s="404"/>
      <c r="G580" s="404"/>
      <c r="H580" s="404"/>
      <c r="I580" s="404"/>
      <c r="J580" s="404"/>
      <c r="K580" s="405"/>
    </row>
    <row r="581" spans="1:11" ht="15">
      <c r="A581" s="106" t="s">
        <v>969</v>
      </c>
      <c r="B581" s="372" t="s">
        <v>661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281</v>
      </c>
      <c r="C582" s="382"/>
      <c r="D582" s="383"/>
      <c r="E582" s="382"/>
      <c r="F582" s="383"/>
      <c r="G582" s="383"/>
      <c r="H582" s="383"/>
      <c r="I582" s="383"/>
      <c r="J582" s="383"/>
      <c r="K582" s="413"/>
    </row>
    <row r="583" spans="1:11" ht="15">
      <c r="B583" s="372" t="s">
        <v>662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663</v>
      </c>
      <c r="C584" s="382">
        <v>12</v>
      </c>
      <c r="D584" s="383">
        <v>6</v>
      </c>
      <c r="E584" s="382">
        <v>6</v>
      </c>
      <c r="F584" s="382">
        <v>12</v>
      </c>
      <c r="G584" s="383">
        <v>6</v>
      </c>
      <c r="H584" s="382">
        <v>6</v>
      </c>
      <c r="I584" s="376" t="s">
        <v>187</v>
      </c>
      <c r="J584" s="376" t="s">
        <v>187</v>
      </c>
      <c r="K584" s="377" t="s">
        <v>187</v>
      </c>
    </row>
    <row r="585" spans="1:11" ht="15.5">
      <c r="B585" s="380" t="s">
        <v>482</v>
      </c>
      <c r="C585" s="382">
        <v>1.4</v>
      </c>
      <c r="D585" s="383">
        <v>0.7</v>
      </c>
      <c r="E585" s="382">
        <v>0.7</v>
      </c>
      <c r="F585" s="382">
        <v>1.4</v>
      </c>
      <c r="G585" s="383">
        <v>0.7</v>
      </c>
      <c r="H585" s="382">
        <v>0.7</v>
      </c>
      <c r="I585" s="376" t="s">
        <v>187</v>
      </c>
      <c r="J585" s="376" t="s">
        <v>187</v>
      </c>
      <c r="K585" s="377" t="s">
        <v>187</v>
      </c>
    </row>
    <row r="586" spans="1:11" ht="15.5">
      <c r="B586" s="380"/>
      <c r="C586" s="409"/>
      <c r="D586" s="409"/>
      <c r="E586" s="409"/>
      <c r="F586" s="409"/>
      <c r="G586" s="409"/>
      <c r="H586" s="409"/>
      <c r="I586" s="409"/>
      <c r="J586" s="409"/>
      <c r="K586" s="410"/>
    </row>
    <row r="587" spans="1:11" ht="15">
      <c r="B587" s="372" t="s">
        <v>664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665</v>
      </c>
      <c r="C588" s="382">
        <v>13.2</v>
      </c>
      <c r="D588" s="383">
        <v>6.6</v>
      </c>
      <c r="E588" s="382">
        <v>6.6</v>
      </c>
      <c r="F588" s="382">
        <v>13.2</v>
      </c>
      <c r="G588" s="383">
        <v>6.6</v>
      </c>
      <c r="H588" s="382">
        <v>6.6</v>
      </c>
      <c r="I588" s="376" t="s">
        <v>187</v>
      </c>
      <c r="J588" s="376" t="s">
        <v>187</v>
      </c>
      <c r="K588" s="377" t="s">
        <v>187</v>
      </c>
    </row>
    <row r="589" spans="1:11" ht="15.5">
      <c r="B589" s="380" t="s">
        <v>666</v>
      </c>
      <c r="C589" s="382">
        <v>0.4</v>
      </c>
      <c r="D589" s="383">
        <v>0.2</v>
      </c>
      <c r="E589" s="382">
        <v>0.2</v>
      </c>
      <c r="F589" s="382">
        <v>0.4</v>
      </c>
      <c r="G589" s="383">
        <v>0.2</v>
      </c>
      <c r="H589" s="382">
        <v>0.2</v>
      </c>
      <c r="I589" s="376" t="s">
        <v>187</v>
      </c>
      <c r="J589" s="376" t="s">
        <v>187</v>
      </c>
      <c r="K589" s="377" t="s">
        <v>187</v>
      </c>
    </row>
    <row r="590" spans="1:11" ht="15.5">
      <c r="B590" s="380"/>
      <c r="C590" s="392"/>
      <c r="D590" s="392"/>
      <c r="E590" s="392"/>
      <c r="F590" s="392"/>
      <c r="G590" s="392"/>
      <c r="H590" s="392"/>
      <c r="I590" s="392"/>
      <c r="J590" s="392"/>
      <c r="K590" s="393"/>
    </row>
    <row r="591" spans="1:11" ht="15">
      <c r="B591" s="372" t="s">
        <v>667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668</v>
      </c>
      <c r="C592" s="382">
        <v>9.3000000000000007</v>
      </c>
      <c r="D592" s="383">
        <v>4.5999999999999996</v>
      </c>
      <c r="E592" s="382">
        <v>4.7000000000000011</v>
      </c>
      <c r="F592" s="382">
        <v>9.3000000000000007</v>
      </c>
      <c r="G592" s="383">
        <v>4.5999999999999996</v>
      </c>
      <c r="H592" s="382">
        <v>4.7000000000000011</v>
      </c>
      <c r="I592" s="376" t="s">
        <v>187</v>
      </c>
      <c r="J592" s="376" t="s">
        <v>187</v>
      </c>
      <c r="K592" s="377" t="s">
        <v>187</v>
      </c>
    </row>
    <row r="593" spans="1:11" ht="15.5">
      <c r="B593" s="380"/>
      <c r="C593" s="392"/>
      <c r="D593" s="392"/>
      <c r="E593" s="392"/>
      <c r="F593" s="392"/>
      <c r="G593" s="392"/>
      <c r="H593" s="392"/>
      <c r="I593" s="392"/>
      <c r="J593" s="392"/>
      <c r="K593" s="393"/>
    </row>
    <row r="594" spans="1:11" ht="15">
      <c r="B594" s="372" t="s">
        <v>669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670</v>
      </c>
      <c r="C595" s="382">
        <v>11.2</v>
      </c>
      <c r="D595" s="383">
        <v>5.5</v>
      </c>
      <c r="E595" s="382">
        <v>5.6999999999999993</v>
      </c>
      <c r="F595" s="382">
        <v>11.2</v>
      </c>
      <c r="G595" s="383">
        <v>5.5</v>
      </c>
      <c r="H595" s="382">
        <v>5.6999999999999993</v>
      </c>
      <c r="I595" s="376" t="s">
        <v>187</v>
      </c>
      <c r="J595" s="376" t="s">
        <v>187</v>
      </c>
      <c r="K595" s="377" t="s">
        <v>187</v>
      </c>
    </row>
    <row r="596" spans="1:11" ht="15.5">
      <c r="B596" s="380" t="s">
        <v>671</v>
      </c>
      <c r="C596" s="382">
        <v>6.5</v>
      </c>
      <c r="D596" s="383">
        <v>3.2</v>
      </c>
      <c r="E596" s="382">
        <v>3.3</v>
      </c>
      <c r="F596" s="382">
        <v>6.5</v>
      </c>
      <c r="G596" s="383">
        <v>3.2</v>
      </c>
      <c r="H596" s="382">
        <v>3.3</v>
      </c>
      <c r="I596" s="376" t="s">
        <v>187</v>
      </c>
      <c r="J596" s="376" t="s">
        <v>187</v>
      </c>
      <c r="K596" s="377" t="s">
        <v>187</v>
      </c>
    </row>
    <row r="597" spans="1:11" ht="15.5">
      <c r="B597" s="380" t="s">
        <v>672</v>
      </c>
      <c r="C597" s="382">
        <v>0.2</v>
      </c>
      <c r="D597" s="383">
        <v>0.1</v>
      </c>
      <c r="E597" s="382">
        <v>0.1</v>
      </c>
      <c r="F597" s="382">
        <v>0.2</v>
      </c>
      <c r="G597" s="383">
        <v>0.1</v>
      </c>
      <c r="H597" s="382">
        <v>0.1</v>
      </c>
      <c r="I597" s="376" t="s">
        <v>187</v>
      </c>
      <c r="J597" s="376" t="s">
        <v>187</v>
      </c>
      <c r="K597" s="377" t="s">
        <v>187</v>
      </c>
    </row>
    <row r="598" spans="1:11" ht="15.5">
      <c r="B598" s="380" t="s">
        <v>673</v>
      </c>
      <c r="C598" s="382">
        <v>1</v>
      </c>
      <c r="D598" s="383">
        <v>0.5</v>
      </c>
      <c r="E598" s="382">
        <v>0.5</v>
      </c>
      <c r="F598" s="382">
        <v>1</v>
      </c>
      <c r="G598" s="383">
        <v>0.5</v>
      </c>
      <c r="H598" s="382">
        <v>0.5</v>
      </c>
      <c r="I598" s="376" t="s">
        <v>187</v>
      </c>
      <c r="J598" s="376" t="s">
        <v>187</v>
      </c>
      <c r="K598" s="377" t="s">
        <v>187</v>
      </c>
    </row>
    <row r="599" spans="1:11" ht="15.5">
      <c r="B599" s="380" t="s">
        <v>674</v>
      </c>
      <c r="C599" s="382">
        <v>0.5</v>
      </c>
      <c r="D599" s="383">
        <v>0.2</v>
      </c>
      <c r="E599" s="382">
        <v>0.3</v>
      </c>
      <c r="F599" s="382">
        <v>0.5</v>
      </c>
      <c r="G599" s="383">
        <v>0.2</v>
      </c>
      <c r="H599" s="382">
        <v>0.3</v>
      </c>
      <c r="I599" s="376" t="s">
        <v>187</v>
      </c>
      <c r="J599" s="376" t="s">
        <v>187</v>
      </c>
      <c r="K599" s="377" t="s">
        <v>187</v>
      </c>
    </row>
    <row r="600" spans="1:11" ht="15.5">
      <c r="B600" s="380" t="s">
        <v>675</v>
      </c>
      <c r="C600" s="382">
        <v>0.7</v>
      </c>
      <c r="D600" s="383">
        <v>0.3</v>
      </c>
      <c r="E600" s="382">
        <v>0.39999999999999997</v>
      </c>
      <c r="F600" s="382">
        <v>0.7</v>
      </c>
      <c r="G600" s="383">
        <v>0.3</v>
      </c>
      <c r="H600" s="382">
        <v>0.39999999999999997</v>
      </c>
      <c r="I600" s="376" t="s">
        <v>187</v>
      </c>
      <c r="J600" s="376" t="s">
        <v>187</v>
      </c>
      <c r="K600" s="377" t="s">
        <v>187</v>
      </c>
    </row>
    <row r="601" spans="1:11" ht="15.5">
      <c r="B601" s="380"/>
      <c r="C601" s="385"/>
      <c r="D601" s="385"/>
      <c r="E601" s="385"/>
      <c r="F601" s="385"/>
      <c r="G601" s="385"/>
      <c r="H601" s="385"/>
      <c r="I601" s="385"/>
      <c r="J601" s="385"/>
      <c r="K601" s="394"/>
    </row>
    <row r="602" spans="1:11" ht="15">
      <c r="A602" s="106" t="s">
        <v>956</v>
      </c>
      <c r="B602" s="372" t="s">
        <v>676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281</v>
      </c>
      <c r="C603" s="382"/>
      <c r="D603" s="383"/>
      <c r="E603" s="382"/>
      <c r="F603" s="383"/>
      <c r="G603" s="383"/>
      <c r="H603" s="383"/>
      <c r="I603" s="383"/>
      <c r="J603" s="383"/>
      <c r="K603" s="413"/>
    </row>
    <row r="604" spans="1:11" ht="15">
      <c r="B604" s="372" t="s">
        <v>677</v>
      </c>
      <c r="C604" s="381">
        <v>46.7</v>
      </c>
      <c r="D604" s="381">
        <v>23.6</v>
      </c>
      <c r="E604" s="381">
        <v>23.1</v>
      </c>
      <c r="F604" s="381">
        <v>9.5</v>
      </c>
      <c r="G604" s="390">
        <v>4.8</v>
      </c>
      <c r="H604" s="381">
        <v>4.7</v>
      </c>
      <c r="I604" s="381">
        <v>37.200000000000003</v>
      </c>
      <c r="J604" s="381">
        <v>18.8</v>
      </c>
      <c r="K604" s="388">
        <v>18.400000000000002</v>
      </c>
    </row>
    <row r="605" spans="1:11" ht="15.5">
      <c r="B605" s="380" t="s">
        <v>678</v>
      </c>
      <c r="C605" s="382">
        <v>9.1</v>
      </c>
      <c r="D605" s="383">
        <v>4.5999999999999996</v>
      </c>
      <c r="E605" s="382">
        <v>4.5</v>
      </c>
      <c r="F605" s="382">
        <v>9.1</v>
      </c>
      <c r="G605" s="383">
        <v>4.5999999999999996</v>
      </c>
      <c r="H605" s="382">
        <v>4.5</v>
      </c>
      <c r="I605" s="376" t="s">
        <v>187</v>
      </c>
      <c r="J605" s="376" t="s">
        <v>187</v>
      </c>
      <c r="K605" s="377" t="s">
        <v>187</v>
      </c>
    </row>
    <row r="606" spans="1:11" ht="15.5">
      <c r="B606" s="380" t="s">
        <v>679</v>
      </c>
      <c r="C606" s="382">
        <v>0.4</v>
      </c>
      <c r="D606" s="383">
        <v>0.2</v>
      </c>
      <c r="E606" s="382">
        <v>0.2</v>
      </c>
      <c r="F606" s="382">
        <v>0.4</v>
      </c>
      <c r="G606" s="383">
        <v>0.2</v>
      </c>
      <c r="H606" s="382">
        <v>0.2</v>
      </c>
      <c r="I606" s="376" t="s">
        <v>187</v>
      </c>
      <c r="J606" s="376" t="s">
        <v>187</v>
      </c>
      <c r="K606" s="377" t="s">
        <v>187</v>
      </c>
    </row>
    <row r="607" spans="1:11" ht="15.5">
      <c r="B607" s="380"/>
      <c r="C607" s="392"/>
      <c r="D607" s="392"/>
      <c r="E607" s="392"/>
      <c r="F607" s="392"/>
      <c r="G607" s="392"/>
      <c r="H607" s="392"/>
      <c r="I607" s="392"/>
      <c r="J607" s="392"/>
      <c r="K607" s="393"/>
    </row>
    <row r="608" spans="1:11" ht="15">
      <c r="B608" s="372" t="s">
        <v>680</v>
      </c>
      <c r="C608" s="381">
        <v>86.7</v>
      </c>
      <c r="D608" s="381">
        <v>43.7</v>
      </c>
      <c r="E608" s="381">
        <v>43</v>
      </c>
      <c r="F608" s="381">
        <v>28.1</v>
      </c>
      <c r="G608" s="390">
        <v>14.3</v>
      </c>
      <c r="H608" s="381">
        <v>13.8</v>
      </c>
      <c r="I608" s="381">
        <v>58.6</v>
      </c>
      <c r="J608" s="381">
        <v>29.400000000000002</v>
      </c>
      <c r="K608" s="388">
        <v>29.2</v>
      </c>
    </row>
    <row r="609" spans="1:11" ht="15.5">
      <c r="B609" s="380" t="s">
        <v>681</v>
      </c>
      <c r="C609" s="382">
        <v>25.7</v>
      </c>
      <c r="D609" s="383">
        <v>13</v>
      </c>
      <c r="E609" s="382">
        <v>12.7</v>
      </c>
      <c r="F609" s="382">
        <v>25.7</v>
      </c>
      <c r="G609" s="383">
        <v>13</v>
      </c>
      <c r="H609" s="382">
        <v>12.7</v>
      </c>
      <c r="I609" s="376" t="s">
        <v>187</v>
      </c>
      <c r="J609" s="376" t="s">
        <v>187</v>
      </c>
      <c r="K609" s="377" t="s">
        <v>187</v>
      </c>
    </row>
    <row r="610" spans="1:11" ht="15.5">
      <c r="B610" s="380" t="s">
        <v>682</v>
      </c>
      <c r="C610" s="382">
        <v>0.9</v>
      </c>
      <c r="D610" s="383">
        <v>0.5</v>
      </c>
      <c r="E610" s="382">
        <v>0.4</v>
      </c>
      <c r="F610" s="382">
        <v>0.9</v>
      </c>
      <c r="G610" s="383">
        <v>0.5</v>
      </c>
      <c r="H610" s="382">
        <v>0.4</v>
      </c>
      <c r="I610" s="376" t="s">
        <v>187</v>
      </c>
      <c r="J610" s="376" t="s">
        <v>187</v>
      </c>
      <c r="K610" s="377" t="s">
        <v>187</v>
      </c>
    </row>
    <row r="611" spans="1:11" ht="15.5">
      <c r="B611" s="380" t="s">
        <v>683</v>
      </c>
      <c r="C611" s="382">
        <v>1.5</v>
      </c>
      <c r="D611" s="383">
        <v>0.8</v>
      </c>
      <c r="E611" s="382">
        <v>0.7</v>
      </c>
      <c r="F611" s="382">
        <v>1.5</v>
      </c>
      <c r="G611" s="383">
        <v>0.8</v>
      </c>
      <c r="H611" s="382">
        <v>0.7</v>
      </c>
      <c r="I611" s="376" t="s">
        <v>187</v>
      </c>
      <c r="J611" s="376" t="s">
        <v>187</v>
      </c>
      <c r="K611" s="377" t="s">
        <v>187</v>
      </c>
    </row>
    <row r="612" spans="1:11" ht="15.5">
      <c r="B612" s="380"/>
      <c r="C612" s="409"/>
      <c r="D612" s="409"/>
      <c r="E612" s="409"/>
      <c r="F612" s="409"/>
      <c r="G612" s="409"/>
      <c r="H612" s="409"/>
      <c r="I612" s="409"/>
      <c r="J612" s="409"/>
      <c r="K612" s="410"/>
    </row>
    <row r="613" spans="1:11" ht="15">
      <c r="B613" s="372" t="s">
        <v>684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685</v>
      </c>
      <c r="C614" s="382">
        <v>22</v>
      </c>
      <c r="D614" s="383">
        <v>11</v>
      </c>
      <c r="E614" s="382">
        <v>11</v>
      </c>
      <c r="F614" s="382">
        <v>22</v>
      </c>
      <c r="G614" s="383">
        <v>11</v>
      </c>
      <c r="H614" s="382">
        <v>11</v>
      </c>
      <c r="I614" s="376" t="s">
        <v>187</v>
      </c>
      <c r="J614" s="376" t="s">
        <v>187</v>
      </c>
      <c r="K614" s="377" t="s">
        <v>187</v>
      </c>
    </row>
    <row r="615" spans="1:11" ht="15.5">
      <c r="B615" s="380"/>
      <c r="C615" s="404"/>
      <c r="D615" s="404"/>
      <c r="E615" s="404"/>
      <c r="F615" s="404"/>
      <c r="G615" s="404"/>
      <c r="H615" s="404"/>
      <c r="I615" s="404"/>
      <c r="J615" s="404"/>
      <c r="K615" s="405"/>
    </row>
    <row r="616" spans="1:11" ht="15">
      <c r="B616" s="372" t="s">
        <v>686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687</v>
      </c>
      <c r="C617" s="382">
        <v>40.1</v>
      </c>
      <c r="D617" s="383">
        <v>19.600000000000001</v>
      </c>
      <c r="E617" s="382">
        <v>20.5</v>
      </c>
      <c r="F617" s="382">
        <v>40.1</v>
      </c>
      <c r="G617" s="383">
        <v>19.600000000000001</v>
      </c>
      <c r="H617" s="382">
        <v>20.5</v>
      </c>
      <c r="I617" s="376" t="s">
        <v>187</v>
      </c>
      <c r="J617" s="376" t="s">
        <v>187</v>
      </c>
      <c r="K617" s="377" t="s">
        <v>187</v>
      </c>
    </row>
    <row r="618" spans="1:11" ht="15.5">
      <c r="B618" s="380" t="s">
        <v>688</v>
      </c>
      <c r="C618" s="382">
        <v>3.8</v>
      </c>
      <c r="D618" s="383">
        <v>1.9</v>
      </c>
      <c r="E618" s="382">
        <v>1.9</v>
      </c>
      <c r="F618" s="382">
        <v>3.8</v>
      </c>
      <c r="G618" s="383">
        <v>1.9</v>
      </c>
      <c r="H618" s="382">
        <v>1.9</v>
      </c>
      <c r="I618" s="376" t="s">
        <v>187</v>
      </c>
      <c r="J618" s="376" t="s">
        <v>187</v>
      </c>
      <c r="K618" s="377" t="s">
        <v>187</v>
      </c>
    </row>
    <row r="619" spans="1:11" ht="15.5">
      <c r="B619" s="380" t="s">
        <v>689</v>
      </c>
      <c r="C619" s="382">
        <v>0.1</v>
      </c>
      <c r="D619" s="383">
        <v>0.1</v>
      </c>
      <c r="E619" s="382">
        <v>0</v>
      </c>
      <c r="F619" s="382">
        <v>0.1</v>
      </c>
      <c r="G619" s="383">
        <v>0.1</v>
      </c>
      <c r="H619" s="382">
        <v>0</v>
      </c>
      <c r="I619" s="376" t="s">
        <v>187</v>
      </c>
      <c r="J619" s="376" t="s">
        <v>187</v>
      </c>
      <c r="K619" s="377" t="s">
        <v>187</v>
      </c>
    </row>
    <row r="620" spans="1:11" ht="15.5">
      <c r="B620" s="380" t="s">
        <v>690</v>
      </c>
      <c r="C620" s="382">
        <v>2.5</v>
      </c>
      <c r="D620" s="383">
        <v>1.2</v>
      </c>
      <c r="E620" s="382">
        <v>1.3</v>
      </c>
      <c r="F620" s="382">
        <v>2.5</v>
      </c>
      <c r="G620" s="383">
        <v>1.2</v>
      </c>
      <c r="H620" s="382">
        <v>1.3</v>
      </c>
      <c r="I620" s="376" t="s">
        <v>187</v>
      </c>
      <c r="J620" s="376" t="s">
        <v>187</v>
      </c>
      <c r="K620" s="377" t="s">
        <v>187</v>
      </c>
    </row>
    <row r="621" spans="1:11" ht="15.5">
      <c r="B621" s="380" t="s">
        <v>691</v>
      </c>
      <c r="C621" s="382">
        <v>2.9</v>
      </c>
      <c r="D621" s="383">
        <v>1.4</v>
      </c>
      <c r="E621" s="382">
        <v>1.5</v>
      </c>
      <c r="F621" s="382">
        <v>2.9</v>
      </c>
      <c r="G621" s="383">
        <v>1.4</v>
      </c>
      <c r="H621" s="382">
        <v>1.5</v>
      </c>
      <c r="I621" s="376" t="s">
        <v>187</v>
      </c>
      <c r="J621" s="376" t="s">
        <v>187</v>
      </c>
      <c r="K621" s="377" t="s">
        <v>187</v>
      </c>
    </row>
    <row r="622" spans="1:11" ht="15.5">
      <c r="B622" s="380" t="s">
        <v>692</v>
      </c>
      <c r="C622" s="382">
        <v>0</v>
      </c>
      <c r="D622" s="383">
        <v>0</v>
      </c>
      <c r="E622" s="382">
        <v>0</v>
      </c>
      <c r="F622" s="382">
        <v>0</v>
      </c>
      <c r="G622" s="383">
        <v>0</v>
      </c>
      <c r="H622" s="382">
        <v>0</v>
      </c>
      <c r="I622" s="376" t="s">
        <v>187</v>
      </c>
      <c r="J622" s="376" t="s">
        <v>187</v>
      </c>
      <c r="K622" s="377" t="s">
        <v>187</v>
      </c>
    </row>
    <row r="623" spans="1:11" ht="15.5">
      <c r="B623" s="380"/>
      <c r="C623" s="404"/>
      <c r="D623" s="404"/>
      <c r="E623" s="404"/>
      <c r="F623" s="404"/>
      <c r="G623" s="404"/>
      <c r="H623" s="404"/>
      <c r="I623" s="404"/>
      <c r="J623" s="404"/>
      <c r="K623" s="405"/>
    </row>
    <row r="624" spans="1:11" ht="15">
      <c r="A624" s="106" t="s">
        <v>972</v>
      </c>
      <c r="B624" s="372" t="s">
        <v>693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281</v>
      </c>
      <c r="C625" s="374"/>
      <c r="D625" s="374"/>
      <c r="E625" s="374"/>
      <c r="F625" s="374"/>
      <c r="G625" s="374"/>
      <c r="H625" s="374"/>
      <c r="I625" s="374"/>
      <c r="J625" s="374"/>
      <c r="K625" s="375"/>
    </row>
    <row r="626" spans="2:11" ht="15">
      <c r="B626" s="414" t="s">
        <v>694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695</v>
      </c>
      <c r="C627" s="382">
        <v>80.3</v>
      </c>
      <c r="D627" s="383">
        <v>40</v>
      </c>
      <c r="E627" s="382">
        <v>40.299999999999997</v>
      </c>
      <c r="F627" s="382">
        <v>80.3</v>
      </c>
      <c r="G627" s="383">
        <v>40</v>
      </c>
      <c r="H627" s="382">
        <v>40.299999999999997</v>
      </c>
      <c r="I627" s="376" t="s">
        <v>187</v>
      </c>
      <c r="J627" s="376" t="s">
        <v>187</v>
      </c>
      <c r="K627" s="377" t="s">
        <v>187</v>
      </c>
    </row>
    <row r="628" spans="2:11" ht="15.5">
      <c r="B628" s="380" t="s">
        <v>455</v>
      </c>
      <c r="C628" s="382">
        <v>2.9</v>
      </c>
      <c r="D628" s="383">
        <v>1.5</v>
      </c>
      <c r="E628" s="382">
        <v>1.4</v>
      </c>
      <c r="F628" s="382">
        <v>2.9</v>
      </c>
      <c r="G628" s="383">
        <v>1.5</v>
      </c>
      <c r="H628" s="382">
        <v>1.4</v>
      </c>
      <c r="I628" s="376" t="s">
        <v>187</v>
      </c>
      <c r="J628" s="376" t="s">
        <v>187</v>
      </c>
      <c r="K628" s="377" t="s">
        <v>187</v>
      </c>
    </row>
    <row r="629" spans="2:11" ht="15.5">
      <c r="B629" s="380"/>
      <c r="C629" s="404"/>
      <c r="D629" s="404"/>
      <c r="E629" s="404"/>
      <c r="F629" s="404"/>
      <c r="G629" s="404"/>
      <c r="H629" s="404"/>
      <c r="I629" s="404"/>
      <c r="J629" s="404"/>
      <c r="K629" s="405"/>
    </row>
    <row r="630" spans="2:11" ht="15">
      <c r="B630" s="414" t="s">
        <v>696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697</v>
      </c>
      <c r="C631" s="382">
        <v>7.4</v>
      </c>
      <c r="D631" s="383">
        <v>3.6</v>
      </c>
      <c r="E631" s="382">
        <v>3.8000000000000003</v>
      </c>
      <c r="F631" s="382">
        <v>7.4</v>
      </c>
      <c r="G631" s="383">
        <v>3.6</v>
      </c>
      <c r="H631" s="382">
        <v>3.8000000000000003</v>
      </c>
      <c r="I631" s="376" t="s">
        <v>187</v>
      </c>
      <c r="J631" s="376" t="s">
        <v>187</v>
      </c>
      <c r="K631" s="377" t="s">
        <v>187</v>
      </c>
    </row>
    <row r="632" spans="2:11" ht="15.5">
      <c r="B632" s="380"/>
      <c r="C632" s="392"/>
      <c r="D632" s="392"/>
      <c r="E632" s="392"/>
      <c r="F632" s="392"/>
      <c r="G632" s="392"/>
      <c r="H632" s="392"/>
      <c r="I632" s="392"/>
      <c r="J632" s="392"/>
      <c r="K632" s="393"/>
    </row>
    <row r="633" spans="2:11" ht="15">
      <c r="B633" s="414" t="s">
        <v>698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699</v>
      </c>
      <c r="C634" s="382">
        <v>5.8</v>
      </c>
      <c r="D634" s="383">
        <v>2.9</v>
      </c>
      <c r="E634" s="382">
        <v>2.9</v>
      </c>
      <c r="F634" s="382">
        <v>5.8</v>
      </c>
      <c r="G634" s="383">
        <v>2.9</v>
      </c>
      <c r="H634" s="382">
        <v>2.9</v>
      </c>
      <c r="I634" s="376" t="s">
        <v>187</v>
      </c>
      <c r="J634" s="376" t="s">
        <v>187</v>
      </c>
      <c r="K634" s="377" t="s">
        <v>187</v>
      </c>
    </row>
    <row r="635" spans="2:11" ht="15.5">
      <c r="B635" s="380"/>
      <c r="C635" s="385"/>
      <c r="D635" s="385"/>
      <c r="E635" s="385"/>
      <c r="F635" s="385"/>
      <c r="G635" s="385"/>
      <c r="H635" s="385"/>
      <c r="I635" s="385"/>
      <c r="J635" s="385"/>
      <c r="K635" s="394"/>
    </row>
    <row r="636" spans="2:11" ht="15">
      <c r="B636" s="414" t="s">
        <v>700</v>
      </c>
      <c r="C636" s="381">
        <v>50</v>
      </c>
      <c r="D636" s="381">
        <v>24.9</v>
      </c>
      <c r="E636" s="381">
        <v>25.1</v>
      </c>
      <c r="F636" s="381">
        <v>11.2</v>
      </c>
      <c r="G636" s="390">
        <v>5.6</v>
      </c>
      <c r="H636" s="381">
        <v>5.6</v>
      </c>
      <c r="I636" s="381">
        <v>38.799999999999997</v>
      </c>
      <c r="J636" s="381">
        <v>19.299999999999997</v>
      </c>
      <c r="K636" s="388">
        <v>19.5</v>
      </c>
    </row>
    <row r="637" spans="2:11" ht="15.5">
      <c r="B637" s="380" t="s">
        <v>701</v>
      </c>
      <c r="C637" s="382">
        <v>10.7</v>
      </c>
      <c r="D637" s="383">
        <v>5.3</v>
      </c>
      <c r="E637" s="382">
        <v>5.3999999999999995</v>
      </c>
      <c r="F637" s="382">
        <v>10.7</v>
      </c>
      <c r="G637" s="383">
        <v>5.3</v>
      </c>
      <c r="H637" s="382">
        <v>5.3999999999999995</v>
      </c>
      <c r="I637" s="376" t="s">
        <v>187</v>
      </c>
      <c r="J637" s="376" t="s">
        <v>187</v>
      </c>
      <c r="K637" s="377" t="s">
        <v>187</v>
      </c>
    </row>
    <row r="638" spans="2:11" ht="15.5">
      <c r="B638" s="380" t="s">
        <v>702</v>
      </c>
      <c r="C638" s="382">
        <v>0.1</v>
      </c>
      <c r="D638" s="383">
        <v>0.1</v>
      </c>
      <c r="E638" s="382">
        <v>0</v>
      </c>
      <c r="F638" s="382">
        <v>0.1</v>
      </c>
      <c r="G638" s="383">
        <v>0.1</v>
      </c>
      <c r="H638" s="382">
        <v>0</v>
      </c>
      <c r="I638" s="376" t="s">
        <v>187</v>
      </c>
      <c r="J638" s="376" t="s">
        <v>187</v>
      </c>
      <c r="K638" s="377" t="s">
        <v>187</v>
      </c>
    </row>
    <row r="639" spans="2:11" ht="15.5">
      <c r="B639" s="380" t="s">
        <v>703</v>
      </c>
      <c r="C639" s="382">
        <v>0</v>
      </c>
      <c r="D639" s="383">
        <v>0</v>
      </c>
      <c r="E639" s="382">
        <v>0</v>
      </c>
      <c r="F639" s="382">
        <v>0</v>
      </c>
      <c r="G639" s="383">
        <v>0</v>
      </c>
      <c r="H639" s="382">
        <v>0</v>
      </c>
      <c r="I639" s="376" t="s">
        <v>187</v>
      </c>
      <c r="J639" s="376" t="s">
        <v>187</v>
      </c>
      <c r="K639" s="377" t="s">
        <v>187</v>
      </c>
    </row>
    <row r="640" spans="2:11" ht="15.5">
      <c r="B640" s="380" t="s">
        <v>704</v>
      </c>
      <c r="C640" s="382">
        <v>0.4</v>
      </c>
      <c r="D640" s="383">
        <v>0.2</v>
      </c>
      <c r="E640" s="382">
        <v>0.2</v>
      </c>
      <c r="F640" s="382">
        <v>0.4</v>
      </c>
      <c r="G640" s="383">
        <v>0.2</v>
      </c>
      <c r="H640" s="382">
        <v>0.2</v>
      </c>
      <c r="I640" s="376" t="s">
        <v>187</v>
      </c>
      <c r="J640" s="376" t="s">
        <v>187</v>
      </c>
      <c r="K640" s="377" t="s">
        <v>187</v>
      </c>
    </row>
    <row r="641" spans="2:11" ht="15.5">
      <c r="B641" s="380"/>
      <c r="C641" s="392"/>
      <c r="D641" s="392"/>
      <c r="E641" s="392"/>
      <c r="F641" s="392"/>
      <c r="G641" s="392"/>
      <c r="H641" s="392"/>
      <c r="I641" s="392"/>
      <c r="J641" s="392"/>
      <c r="K641" s="393"/>
    </row>
    <row r="642" spans="2:11" ht="15">
      <c r="B642" s="414" t="s">
        <v>705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706</v>
      </c>
      <c r="C643" s="382">
        <v>13.4</v>
      </c>
      <c r="D643" s="383">
        <v>6.8</v>
      </c>
      <c r="E643" s="382">
        <v>6.6000000000000005</v>
      </c>
      <c r="F643" s="382">
        <v>13.4</v>
      </c>
      <c r="G643" s="383">
        <v>6.8</v>
      </c>
      <c r="H643" s="382">
        <v>6.6000000000000005</v>
      </c>
      <c r="I643" s="376" t="s">
        <v>187</v>
      </c>
      <c r="J643" s="376" t="s">
        <v>187</v>
      </c>
      <c r="K643" s="377" t="s">
        <v>187</v>
      </c>
    </row>
    <row r="644" spans="2:11" ht="15.5">
      <c r="B644" s="380"/>
      <c r="C644" s="392"/>
      <c r="D644" s="392"/>
      <c r="E644" s="392"/>
      <c r="F644" s="392"/>
      <c r="G644" s="392"/>
      <c r="H644" s="392"/>
      <c r="I644" s="392"/>
      <c r="J644" s="392"/>
      <c r="K644" s="393"/>
    </row>
    <row r="645" spans="2:11" ht="15">
      <c r="B645" s="414" t="s">
        <v>707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708</v>
      </c>
      <c r="C646" s="382">
        <v>6.1</v>
      </c>
      <c r="D646" s="383">
        <v>3</v>
      </c>
      <c r="E646" s="382">
        <v>3.0999999999999996</v>
      </c>
      <c r="F646" s="382">
        <v>6.1</v>
      </c>
      <c r="G646" s="383">
        <v>3</v>
      </c>
      <c r="H646" s="382">
        <v>3.0999999999999996</v>
      </c>
      <c r="I646" s="376" t="s">
        <v>187</v>
      </c>
      <c r="J646" s="376" t="s">
        <v>187</v>
      </c>
      <c r="K646" s="377" t="s">
        <v>187</v>
      </c>
    </row>
    <row r="647" spans="2:11" ht="15.5">
      <c r="B647" s="380"/>
      <c r="C647" s="392"/>
      <c r="D647" s="392"/>
      <c r="E647" s="392"/>
      <c r="F647" s="392"/>
      <c r="G647" s="392"/>
      <c r="H647" s="392"/>
      <c r="I647" s="392"/>
      <c r="J647" s="392"/>
      <c r="K647" s="393"/>
    </row>
    <row r="648" spans="2:11" ht="15">
      <c r="B648" s="414" t="s">
        <v>709</v>
      </c>
      <c r="C648" s="381">
        <v>25.2</v>
      </c>
      <c r="D648" s="381">
        <v>12.7</v>
      </c>
      <c r="E648" s="381">
        <v>12.5</v>
      </c>
      <c r="F648" s="381">
        <v>5.2</v>
      </c>
      <c r="G648" s="390">
        <v>2.6</v>
      </c>
      <c r="H648" s="381">
        <v>2.6</v>
      </c>
      <c r="I648" s="381">
        <v>20</v>
      </c>
      <c r="J648" s="381">
        <v>10.1</v>
      </c>
      <c r="K648" s="388">
        <v>9.9</v>
      </c>
    </row>
    <row r="649" spans="2:11" ht="15.5">
      <c r="B649" s="380" t="s">
        <v>710</v>
      </c>
      <c r="C649" s="382">
        <v>4.5</v>
      </c>
      <c r="D649" s="383">
        <v>2.2000000000000002</v>
      </c>
      <c r="E649" s="382">
        <v>2.2999999999999998</v>
      </c>
      <c r="F649" s="382">
        <v>4.5</v>
      </c>
      <c r="G649" s="383">
        <v>2.2000000000000002</v>
      </c>
      <c r="H649" s="382">
        <v>2.2999999999999998</v>
      </c>
      <c r="I649" s="376" t="s">
        <v>187</v>
      </c>
      <c r="J649" s="376" t="s">
        <v>187</v>
      </c>
      <c r="K649" s="377" t="s">
        <v>187</v>
      </c>
    </row>
    <row r="650" spans="2:11" ht="15.5">
      <c r="B650" s="380" t="s">
        <v>711</v>
      </c>
      <c r="C650" s="382">
        <v>0.7</v>
      </c>
      <c r="D650" s="383">
        <v>0.4</v>
      </c>
      <c r="E650" s="382">
        <v>0.29999999999999993</v>
      </c>
      <c r="F650" s="382">
        <v>0.7</v>
      </c>
      <c r="G650" s="383">
        <v>0.4</v>
      </c>
      <c r="H650" s="382">
        <v>0.29999999999999993</v>
      </c>
      <c r="I650" s="376" t="s">
        <v>187</v>
      </c>
      <c r="J650" s="376" t="s">
        <v>187</v>
      </c>
      <c r="K650" s="377" t="s">
        <v>187</v>
      </c>
    </row>
    <row r="651" spans="2:11" ht="15.5">
      <c r="B651" s="380"/>
      <c r="C651" s="392"/>
      <c r="D651" s="392"/>
      <c r="E651" s="392"/>
      <c r="F651" s="392"/>
      <c r="G651" s="392"/>
      <c r="H651" s="392"/>
      <c r="I651" s="392"/>
      <c r="J651" s="392"/>
      <c r="K651" s="393"/>
    </row>
    <row r="652" spans="2:11" ht="15">
      <c r="B652" s="414" t="s">
        <v>712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713</v>
      </c>
      <c r="C653" s="416">
        <v>2.2000000000000002</v>
      </c>
      <c r="D653" s="416">
        <v>1.1000000000000001</v>
      </c>
      <c r="E653" s="416">
        <v>1.1000000000000001</v>
      </c>
      <c r="F653" s="416">
        <v>2.2000000000000002</v>
      </c>
      <c r="G653" s="416">
        <v>1.1000000000000001</v>
      </c>
      <c r="H653" s="416">
        <v>1.1000000000000001</v>
      </c>
      <c r="I653" s="416" t="s">
        <v>187</v>
      </c>
      <c r="J653" s="416" t="s">
        <v>187</v>
      </c>
      <c r="K653" s="417" t="s">
        <v>187</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68" t="s">
        <v>184</v>
      </c>
      <c r="C2" s="668"/>
      <c r="D2" s="668"/>
      <c r="E2" s="668"/>
      <c r="F2" s="668"/>
      <c r="G2" s="668"/>
      <c r="H2" s="668"/>
      <c r="I2" s="668"/>
      <c r="J2" s="668"/>
      <c r="K2" s="668"/>
      <c r="L2" s="668"/>
      <c r="M2" s="668"/>
      <c r="N2" s="668"/>
    </row>
    <row r="3" spans="2:15" ht="14.5" thickBot="1">
      <c r="B3" s="669" t="s">
        <v>185</v>
      </c>
      <c r="C3" s="669"/>
      <c r="D3" s="669"/>
      <c r="E3" s="669"/>
      <c r="F3" s="669"/>
      <c r="G3" s="669"/>
      <c r="H3" s="669"/>
      <c r="I3" s="669"/>
      <c r="J3" s="669"/>
      <c r="K3" s="669"/>
      <c r="L3" s="669"/>
      <c r="M3" s="669"/>
      <c r="N3" s="669"/>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6">
        <v>2019</v>
      </c>
    </row>
    <row r="5" spans="2:15">
      <c r="B5" s="309" t="s">
        <v>186</v>
      </c>
      <c r="C5" s="310" t="s">
        <v>187</v>
      </c>
      <c r="D5" s="310" t="s">
        <v>187</v>
      </c>
      <c r="E5" s="310" t="s">
        <v>187</v>
      </c>
      <c r="F5" s="310" t="s">
        <v>187</v>
      </c>
      <c r="G5" s="310" t="s">
        <v>187</v>
      </c>
      <c r="H5" s="311" t="s">
        <v>187</v>
      </c>
      <c r="I5" s="311" t="s">
        <v>187</v>
      </c>
      <c r="J5" s="311" t="s">
        <v>187</v>
      </c>
      <c r="K5" s="311" t="s">
        <v>187</v>
      </c>
      <c r="L5" s="311" t="s">
        <v>187</v>
      </c>
      <c r="M5" s="312" t="s">
        <v>187</v>
      </c>
      <c r="N5" s="313" t="s">
        <v>187</v>
      </c>
      <c r="O5" s="577" t="s">
        <v>187</v>
      </c>
    </row>
    <row r="6" spans="2:15">
      <c r="B6" s="314" t="s">
        <v>188</v>
      </c>
      <c r="C6" s="315" t="s">
        <v>187</v>
      </c>
      <c r="D6" s="315" t="s">
        <v>187</v>
      </c>
      <c r="E6" s="315" t="s">
        <v>187</v>
      </c>
      <c r="F6" s="315" t="s">
        <v>187</v>
      </c>
      <c r="G6" s="315" t="s">
        <v>187</v>
      </c>
      <c r="H6" s="316" t="s">
        <v>187</v>
      </c>
      <c r="I6" s="316" t="s">
        <v>187</v>
      </c>
      <c r="J6" s="316" t="s">
        <v>187</v>
      </c>
      <c r="K6" s="316" t="s">
        <v>187</v>
      </c>
      <c r="L6" s="316" t="s">
        <v>187</v>
      </c>
      <c r="M6" s="312" t="s">
        <v>187</v>
      </c>
      <c r="N6" s="313" t="s">
        <v>187</v>
      </c>
      <c r="O6" s="577" t="s">
        <v>187</v>
      </c>
    </row>
    <row r="7" spans="2:15">
      <c r="B7" s="314" t="s">
        <v>189</v>
      </c>
      <c r="C7" s="315" t="s">
        <v>187</v>
      </c>
      <c r="D7" s="315" t="s">
        <v>187</v>
      </c>
      <c r="E7" s="315" t="s">
        <v>187</v>
      </c>
      <c r="F7" s="315" t="s">
        <v>187</v>
      </c>
      <c r="G7" s="315" t="s">
        <v>187</v>
      </c>
      <c r="H7" s="316" t="s">
        <v>187</v>
      </c>
      <c r="I7" s="316" t="s">
        <v>187</v>
      </c>
      <c r="J7" s="316" t="s">
        <v>187</v>
      </c>
      <c r="K7" s="316" t="s">
        <v>187</v>
      </c>
      <c r="L7" s="316" t="s">
        <v>187</v>
      </c>
      <c r="M7" s="312" t="s">
        <v>187</v>
      </c>
      <c r="N7" s="313" t="s">
        <v>187</v>
      </c>
      <c r="O7" s="577" t="s">
        <v>187</v>
      </c>
    </row>
    <row r="8" spans="2:15">
      <c r="B8" s="314" t="s">
        <v>190</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5">
        <v>132.80000000000001</v>
      </c>
    </row>
    <row r="9" spans="2:15">
      <c r="B9" s="314" t="s">
        <v>191</v>
      </c>
      <c r="C9" s="317">
        <v>73.400000000000006</v>
      </c>
      <c r="D9" s="317">
        <v>60.5</v>
      </c>
      <c r="E9" s="317">
        <v>56.2</v>
      </c>
      <c r="F9" s="317">
        <v>51.8</v>
      </c>
      <c r="G9" s="317">
        <v>43.2</v>
      </c>
      <c r="H9" s="317">
        <v>47.5</v>
      </c>
      <c r="I9" s="318">
        <v>38.9</v>
      </c>
      <c r="J9" s="318">
        <v>30.2</v>
      </c>
      <c r="K9" s="318">
        <v>17.3</v>
      </c>
      <c r="L9" s="318">
        <v>25.9</v>
      </c>
      <c r="M9" s="321">
        <v>30.2</v>
      </c>
      <c r="N9" s="322">
        <v>25.9</v>
      </c>
      <c r="O9" s="574">
        <v>30.2</v>
      </c>
    </row>
    <row r="10" spans="2:15">
      <c r="B10" s="314" t="s">
        <v>192</v>
      </c>
      <c r="C10" s="317" t="s">
        <v>187</v>
      </c>
      <c r="D10" s="317" t="s">
        <v>187</v>
      </c>
      <c r="E10" s="317" t="s">
        <v>187</v>
      </c>
      <c r="F10" s="317" t="s">
        <v>187</v>
      </c>
      <c r="G10" s="317" t="s">
        <v>187</v>
      </c>
      <c r="H10" s="317" t="s">
        <v>187</v>
      </c>
      <c r="I10" s="315" t="s">
        <v>187</v>
      </c>
      <c r="J10" s="315" t="s">
        <v>187</v>
      </c>
      <c r="K10" s="315" t="s">
        <v>187</v>
      </c>
      <c r="L10" s="315" t="s">
        <v>187</v>
      </c>
      <c r="M10" s="312" t="s">
        <v>187</v>
      </c>
      <c r="N10" s="313" t="s">
        <v>187</v>
      </c>
      <c r="O10" s="577" t="s">
        <v>187</v>
      </c>
    </row>
    <row r="11" spans="2:15">
      <c r="B11" s="314" t="s">
        <v>193</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4">
        <v>4.3</v>
      </c>
    </row>
    <row r="12" spans="2:15">
      <c r="B12" s="323" t="s">
        <v>194</v>
      </c>
      <c r="C12" s="317">
        <v>703.8</v>
      </c>
      <c r="D12" s="317">
        <v>661.2</v>
      </c>
      <c r="E12" s="317">
        <v>524.6</v>
      </c>
      <c r="F12" s="317">
        <v>528.9</v>
      </c>
      <c r="G12" s="317">
        <v>537.5</v>
      </c>
      <c r="H12" s="317">
        <v>546</v>
      </c>
      <c r="I12" s="318">
        <v>511.8</v>
      </c>
      <c r="J12" s="318">
        <v>447.9</v>
      </c>
      <c r="K12" s="318">
        <v>405.2</v>
      </c>
      <c r="L12" s="318">
        <v>383.9</v>
      </c>
      <c r="M12" s="321">
        <v>362.6</v>
      </c>
      <c r="N12" s="322">
        <v>341.2</v>
      </c>
      <c r="O12" s="574">
        <v>324.2</v>
      </c>
    </row>
    <row r="13" spans="2:15">
      <c r="B13" s="323" t="s">
        <v>195</v>
      </c>
      <c r="C13" s="315" t="s">
        <v>187</v>
      </c>
      <c r="D13" s="315" t="s">
        <v>187</v>
      </c>
      <c r="E13" s="315" t="s">
        <v>187</v>
      </c>
      <c r="F13" s="315" t="s">
        <v>187</v>
      </c>
      <c r="G13" s="315" t="s">
        <v>187</v>
      </c>
      <c r="H13" s="315" t="s">
        <v>187</v>
      </c>
      <c r="I13" s="315" t="s">
        <v>187</v>
      </c>
      <c r="J13" s="315" t="s">
        <v>187</v>
      </c>
      <c r="K13" s="316" t="s">
        <v>187</v>
      </c>
      <c r="L13" s="315" t="s">
        <v>187</v>
      </c>
      <c r="M13" s="312" t="s">
        <v>187</v>
      </c>
      <c r="N13" s="313" t="s">
        <v>187</v>
      </c>
      <c r="O13" s="577" t="s">
        <v>187</v>
      </c>
    </row>
    <row r="14" spans="2:15">
      <c r="B14" s="324" t="s">
        <v>196</v>
      </c>
      <c r="C14" s="315" t="s">
        <v>187</v>
      </c>
      <c r="D14" s="315" t="s">
        <v>187</v>
      </c>
      <c r="E14" s="315" t="s">
        <v>187</v>
      </c>
      <c r="F14" s="315" t="s">
        <v>187</v>
      </c>
      <c r="G14" s="315" t="s">
        <v>187</v>
      </c>
      <c r="H14" s="315" t="s">
        <v>187</v>
      </c>
      <c r="I14" s="315" t="s">
        <v>187</v>
      </c>
      <c r="J14" s="315" t="s">
        <v>187</v>
      </c>
      <c r="K14" s="316" t="s">
        <v>187</v>
      </c>
      <c r="L14" s="315" t="s">
        <v>187</v>
      </c>
      <c r="M14" s="312" t="s">
        <v>187</v>
      </c>
      <c r="N14" s="313" t="s">
        <v>187</v>
      </c>
      <c r="O14" s="577" t="s">
        <v>187</v>
      </c>
    </row>
    <row r="15" spans="2:15">
      <c r="B15" s="324" t="s">
        <v>197</v>
      </c>
      <c r="C15" s="315" t="s">
        <v>187</v>
      </c>
      <c r="D15" s="315" t="s">
        <v>187</v>
      </c>
      <c r="E15" s="315" t="s">
        <v>187</v>
      </c>
      <c r="F15" s="315" t="s">
        <v>187</v>
      </c>
      <c r="G15" s="315" t="s">
        <v>187</v>
      </c>
      <c r="H15" s="315" t="s">
        <v>187</v>
      </c>
      <c r="I15" s="315" t="s">
        <v>187</v>
      </c>
      <c r="J15" s="315" t="s">
        <v>187</v>
      </c>
      <c r="K15" s="316" t="s">
        <v>187</v>
      </c>
      <c r="L15" s="315" t="s">
        <v>187</v>
      </c>
      <c r="M15" s="312" t="s">
        <v>187</v>
      </c>
      <c r="N15" s="313" t="s">
        <v>187</v>
      </c>
      <c r="O15" s="577" t="s">
        <v>187</v>
      </c>
    </row>
    <row r="16" spans="2:15">
      <c r="B16" s="324" t="s">
        <v>198</v>
      </c>
      <c r="C16" s="315" t="s">
        <v>187</v>
      </c>
      <c r="D16" s="315" t="s">
        <v>187</v>
      </c>
      <c r="E16" s="315" t="s">
        <v>187</v>
      </c>
      <c r="F16" s="315" t="s">
        <v>187</v>
      </c>
      <c r="G16" s="315" t="s">
        <v>187</v>
      </c>
      <c r="H16" s="315" t="s">
        <v>187</v>
      </c>
      <c r="I16" s="315" t="s">
        <v>187</v>
      </c>
      <c r="J16" s="315" t="s">
        <v>187</v>
      </c>
      <c r="K16" s="316" t="s">
        <v>187</v>
      </c>
      <c r="L16" s="315" t="s">
        <v>187</v>
      </c>
      <c r="M16" s="312" t="s">
        <v>187</v>
      </c>
      <c r="N16" s="313" t="s">
        <v>187</v>
      </c>
      <c r="O16" s="577" t="s">
        <v>187</v>
      </c>
    </row>
    <row r="17" spans="2:15">
      <c r="B17" s="314" t="s">
        <v>199</v>
      </c>
      <c r="C17" s="315" t="s">
        <v>187</v>
      </c>
      <c r="D17" s="315" t="s">
        <v>187</v>
      </c>
      <c r="E17" s="315" t="s">
        <v>187</v>
      </c>
      <c r="F17" s="315" t="s">
        <v>187</v>
      </c>
      <c r="G17" s="315" t="s">
        <v>187</v>
      </c>
      <c r="H17" s="315" t="s">
        <v>187</v>
      </c>
      <c r="I17" s="315" t="s">
        <v>187</v>
      </c>
      <c r="J17" s="315" t="s">
        <v>187</v>
      </c>
      <c r="K17" s="316" t="s">
        <v>187</v>
      </c>
      <c r="L17" s="315" t="s">
        <v>187</v>
      </c>
      <c r="M17" s="312" t="s">
        <v>187</v>
      </c>
      <c r="N17" s="313" t="s">
        <v>187</v>
      </c>
      <c r="O17" s="577" t="s">
        <v>187</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4">
        <v>129558.1</v>
      </c>
    </row>
    <row r="19" spans="2:15">
      <c r="B19" s="314" t="s">
        <v>200</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5">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4">
        <v>23104.799999999999</v>
      </c>
    </row>
    <row r="21" spans="2:15">
      <c r="B21" s="314" t="s">
        <v>201</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4">
        <v>414</v>
      </c>
    </row>
    <row r="22" spans="2:15" ht="14.5" thickBot="1">
      <c r="B22" s="326" t="s">
        <v>202</v>
      </c>
      <c r="C22" s="327" t="s">
        <v>187</v>
      </c>
      <c r="D22" s="327" t="s">
        <v>187</v>
      </c>
      <c r="E22" s="327" t="s">
        <v>187</v>
      </c>
      <c r="F22" s="327" t="s">
        <v>187</v>
      </c>
      <c r="G22" s="327" t="s">
        <v>187</v>
      </c>
      <c r="H22" s="327" t="s">
        <v>187</v>
      </c>
      <c r="I22" s="327" t="s">
        <v>187</v>
      </c>
      <c r="J22" s="327" t="s">
        <v>187</v>
      </c>
      <c r="K22" s="327" t="s">
        <v>187</v>
      </c>
      <c r="L22" s="327" t="s">
        <v>187</v>
      </c>
      <c r="M22" s="328" t="s">
        <v>187</v>
      </c>
      <c r="N22" s="329">
        <v>8.4</v>
      </c>
      <c r="O22" s="578">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topLeftCell="A4"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149</v>
      </c>
      <c r="I2" s="171"/>
      <c r="J2" s="171"/>
      <c r="K2" s="171"/>
    </row>
    <row r="3" spans="1:20" ht="16.5" thickTop="1" thickBot="1">
      <c r="A3" s="108" t="s">
        <v>1</v>
      </c>
      <c r="B3" s="109" t="s">
        <v>72</v>
      </c>
      <c r="C3" s="670" t="s">
        <v>122</v>
      </c>
      <c r="D3" s="671"/>
      <c r="E3" s="672"/>
      <c r="H3" s="171"/>
      <c r="I3" s="171"/>
      <c r="J3" s="171"/>
      <c r="K3" s="171"/>
    </row>
    <row r="4" spans="1:20" ht="15.9" customHeight="1" thickBot="1">
      <c r="A4" s="673" t="s">
        <v>956</v>
      </c>
      <c r="B4" s="116" t="s">
        <v>49</v>
      </c>
      <c r="C4" s="122" t="s">
        <v>159</v>
      </c>
      <c r="D4" s="117" t="s">
        <v>160</v>
      </c>
      <c r="E4" s="118" t="s">
        <v>51</v>
      </c>
      <c r="H4" s="171"/>
      <c r="I4" s="172">
        <v>2010</v>
      </c>
      <c r="J4" s="171"/>
      <c r="K4" s="171"/>
    </row>
    <row r="5" spans="1:20" ht="15.9" customHeight="1">
      <c r="A5" s="674"/>
      <c r="B5" s="110" t="s">
        <v>254</v>
      </c>
      <c r="C5" s="123" t="s">
        <v>159</v>
      </c>
      <c r="D5" s="111" t="s">
        <v>160</v>
      </c>
      <c r="E5" s="112" t="s">
        <v>51</v>
      </c>
      <c r="H5" s="173"/>
      <c r="I5" s="174" t="s">
        <v>150</v>
      </c>
      <c r="J5" s="175"/>
      <c r="K5" s="176"/>
    </row>
    <row r="6" spans="1:20" ht="15.9" customHeight="1">
      <c r="A6" s="674"/>
      <c r="B6" s="110" t="s">
        <v>256</v>
      </c>
      <c r="C6" s="123" t="s">
        <v>159</v>
      </c>
      <c r="D6" s="111" t="s">
        <v>160</v>
      </c>
      <c r="E6" s="112" t="s">
        <v>51</v>
      </c>
      <c r="H6" s="177" t="s">
        <v>148</v>
      </c>
      <c r="I6" s="178" t="e">
        <f>#REF!</f>
        <v>#REF!</v>
      </c>
      <c r="J6" s="179" t="s">
        <v>151</v>
      </c>
      <c r="K6" s="677" t="s">
        <v>102</v>
      </c>
    </row>
    <row r="7" spans="1:20" ht="15.9" customHeight="1">
      <c r="A7" s="674"/>
      <c r="B7" s="110" t="s">
        <v>50</v>
      </c>
      <c r="C7" s="123" t="s">
        <v>159</v>
      </c>
      <c r="D7" s="111" t="s">
        <v>160</v>
      </c>
      <c r="E7" s="112" t="s">
        <v>51</v>
      </c>
      <c r="H7" s="177" t="s">
        <v>152</v>
      </c>
      <c r="I7" s="178" t="e">
        <f>#REF!</f>
        <v>#REF!</v>
      </c>
      <c r="J7" s="179" t="s">
        <v>153</v>
      </c>
      <c r="K7" s="678"/>
    </row>
    <row r="8" spans="1:20" ht="15.9" customHeight="1">
      <c r="A8" s="674"/>
      <c r="B8" s="110" t="s">
        <v>255</v>
      </c>
      <c r="C8" s="123" t="s">
        <v>159</v>
      </c>
      <c r="D8" s="111" t="s">
        <v>160</v>
      </c>
      <c r="E8" s="112" t="s">
        <v>51</v>
      </c>
      <c r="H8" s="177" t="s">
        <v>155</v>
      </c>
      <c r="I8" s="178" t="e">
        <f>#REF!</f>
        <v>#REF!</v>
      </c>
      <c r="J8" s="179" t="s">
        <v>153</v>
      </c>
      <c r="K8" s="679"/>
    </row>
    <row r="9" spans="1:20" ht="15.9" customHeight="1" thickBot="1">
      <c r="A9" s="675"/>
      <c r="B9" s="119" t="s">
        <v>257</v>
      </c>
      <c r="C9" s="125" t="s">
        <v>159</v>
      </c>
      <c r="D9" s="120" t="s">
        <v>160</v>
      </c>
      <c r="E9" s="121" t="s">
        <v>51</v>
      </c>
      <c r="H9" s="177" t="s">
        <v>147</v>
      </c>
      <c r="I9" s="178" t="e">
        <f>#REF!</f>
        <v>#REF!</v>
      </c>
      <c r="J9" s="179" t="s">
        <v>156</v>
      </c>
      <c r="K9" s="677" t="s">
        <v>154</v>
      </c>
      <c r="N9" s="1"/>
      <c r="O9" s="1"/>
      <c r="P9" s="1"/>
      <c r="Q9" s="1"/>
    </row>
    <row r="10" spans="1:20" ht="15.9" customHeight="1">
      <c r="A10" s="674" t="s">
        <v>166</v>
      </c>
      <c r="B10" s="110" t="s">
        <v>49</v>
      </c>
      <c r="C10" s="123" t="s">
        <v>159</v>
      </c>
      <c r="D10" s="111" t="s">
        <v>160</v>
      </c>
      <c r="E10" s="112" t="s">
        <v>51</v>
      </c>
      <c r="H10" s="177" t="s">
        <v>157</v>
      </c>
      <c r="I10" s="178" t="e">
        <f>#REF!</f>
        <v>#REF!</v>
      </c>
      <c r="J10" s="179" t="s">
        <v>156</v>
      </c>
      <c r="K10" s="679"/>
      <c r="N10" s="1"/>
      <c r="O10" s="1"/>
      <c r="P10" s="1"/>
      <c r="Q10" s="1"/>
    </row>
    <row r="11" spans="1:20" ht="15.9" customHeight="1">
      <c r="A11" s="674"/>
      <c r="B11" s="110" t="s">
        <v>254</v>
      </c>
      <c r="C11" s="123" t="s">
        <v>159</v>
      </c>
      <c r="D11" s="111" t="s">
        <v>160</v>
      </c>
      <c r="E11" s="112" t="s">
        <v>51</v>
      </c>
      <c r="H11" s="177" t="s">
        <v>158</v>
      </c>
      <c r="I11" s="178" t="e">
        <f>#REF!</f>
        <v>#REF!</v>
      </c>
      <c r="J11" s="179" t="s">
        <v>156</v>
      </c>
      <c r="K11" s="180" t="s">
        <v>161</v>
      </c>
      <c r="N11" s="1"/>
      <c r="O11" s="1"/>
      <c r="P11" s="1"/>
      <c r="Q11" s="1"/>
    </row>
    <row r="12" spans="1:20" ht="15.9" customHeight="1" thickBot="1">
      <c r="A12" s="674"/>
      <c r="B12" s="110" t="s">
        <v>256</v>
      </c>
      <c r="C12" s="123" t="s">
        <v>159</v>
      </c>
      <c r="D12" s="111" t="s">
        <v>160</v>
      </c>
      <c r="E12" s="112" t="s">
        <v>51</v>
      </c>
      <c r="H12" s="181" t="s">
        <v>92</v>
      </c>
      <c r="I12" s="182" t="e">
        <f>SUM(I6:I11)</f>
        <v>#REF!</v>
      </c>
      <c r="J12" s="183"/>
      <c r="K12" s="184"/>
      <c r="N12" s="1"/>
      <c r="O12" s="1"/>
      <c r="P12" s="1"/>
      <c r="Q12" s="1"/>
    </row>
    <row r="13" spans="1:20" ht="15.9" customHeight="1">
      <c r="A13" s="674"/>
      <c r="B13" s="110" t="s">
        <v>50</v>
      </c>
      <c r="C13" s="123" t="s">
        <v>159</v>
      </c>
      <c r="D13" s="111" t="s">
        <v>160</v>
      </c>
      <c r="E13" s="112" t="s">
        <v>51</v>
      </c>
      <c r="N13" s="1"/>
      <c r="O13" s="1"/>
      <c r="P13" s="1"/>
      <c r="Q13" s="1"/>
    </row>
    <row r="14" spans="1:20" ht="15.9" customHeight="1">
      <c r="A14" s="674"/>
      <c r="B14" s="110" t="s">
        <v>255</v>
      </c>
      <c r="C14" s="123" t="s">
        <v>159</v>
      </c>
      <c r="D14" s="111" t="s">
        <v>160</v>
      </c>
      <c r="E14" s="112" t="s">
        <v>51</v>
      </c>
      <c r="N14" s="1"/>
      <c r="O14" s="1"/>
      <c r="P14" s="1"/>
      <c r="Q14" s="1"/>
      <c r="R14" s="1"/>
      <c r="S14" s="1"/>
      <c r="T14" s="1"/>
    </row>
    <row r="15" spans="1:20" ht="15.9" customHeight="1" thickBot="1">
      <c r="A15" s="676"/>
      <c r="B15" s="113" t="s">
        <v>257</v>
      </c>
      <c r="C15" s="124" t="s">
        <v>159</v>
      </c>
      <c r="D15" s="114" t="s">
        <v>160</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82" t="s">
        <v>882</v>
      </c>
      <c r="C7" s="682"/>
      <c r="D7" s="683" t="s">
        <v>883</v>
      </c>
      <c r="E7" s="683"/>
      <c r="F7" s="684" t="s">
        <v>884</v>
      </c>
      <c r="G7" s="684"/>
      <c r="H7" s="684" t="s">
        <v>885</v>
      </c>
      <c r="I7" s="684"/>
      <c r="J7" s="685" t="s">
        <v>886</v>
      </c>
      <c r="K7" s="685"/>
      <c r="L7" s="680" t="s">
        <v>887</v>
      </c>
      <c r="M7" s="680"/>
      <c r="N7" s="681" t="s">
        <v>888</v>
      </c>
      <c r="O7" s="681"/>
      <c r="P7" s="681" t="s">
        <v>889</v>
      </c>
      <c r="Q7" s="681"/>
      <c r="U7" s="687" t="s">
        <v>890</v>
      </c>
      <c r="V7" s="687"/>
      <c r="W7" s="687" t="s">
        <v>891</v>
      </c>
      <c r="X7" s="687"/>
      <c r="Y7" s="687" t="s">
        <v>892</v>
      </c>
      <c r="Z7" s="687"/>
      <c r="AA7" s="143" t="s">
        <v>893</v>
      </c>
      <c r="AB7" s="143"/>
      <c r="AC7" s="143" t="s">
        <v>894</v>
      </c>
      <c r="AD7" s="143"/>
      <c r="AE7" s="143" t="s">
        <v>895</v>
      </c>
      <c r="AF7" s="143"/>
      <c r="AJ7" s="687" t="e">
        <f>Commodities!#REF!</f>
        <v>#REF!</v>
      </c>
      <c r="AK7" s="687"/>
      <c r="AL7" s="687" t="str">
        <f>Commodities!$C$7</f>
        <v>CHUDB</v>
      </c>
      <c r="AM7" s="687"/>
      <c r="AN7" s="687" t="str">
        <f>Commodities!$C$8</f>
        <v>CHRDB</v>
      </c>
      <c r="AO7" s="687"/>
      <c r="AP7" s="686" t="e">
        <f>Commodities!#REF!</f>
        <v>#REF!</v>
      </c>
      <c r="AQ7" s="686"/>
      <c r="AR7" s="686" t="str">
        <f>Commodities!$C$9</f>
        <v>CHUMB</v>
      </c>
      <c r="AS7" s="686"/>
      <c r="AT7" s="686" t="str">
        <f>Commodities!$C$10</f>
        <v>CHRMB</v>
      </c>
      <c r="AU7" s="686"/>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Data manipulation</vt:lpstr>
      <vt:lpstr>Buildings_DR</vt:lpstr>
      <vt:lpstr>Dem</vt:lpstr>
      <vt:lpstr>Emis</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2022-03-23T14:39:45Z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