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23" documentId="8_{BE3C840B-77DA-49C4-A525-6AC6A3D7E48D}" xr6:coauthVersionLast="47" xr6:coauthVersionMax="47" xr10:uidLastSave="{A193AA3C-7371-49DA-B610-37FE65B799C4}"/>
  <bookViews>
    <workbookView xWindow="-110" yWindow="-110" windowWidth="19420" windowHeight="10420" tabRatio="862" firstSheet="3" activeTab="7"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Data manipulation" sheetId="267" r:id="rId8"/>
    <sheet name="Buildings_DR" sheetId="264" r:id="rId9"/>
    <sheet name="Appliances&amp;Cooking" sheetId="269" r:id="rId10"/>
    <sheet name="Dem" sheetId="221" r:id="rId11"/>
    <sheet name="Emis" sheetId="242"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0"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G7" i="269" l="1"/>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F66" i="221" l="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F29" i="221"/>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A15" i="270"/>
  <c r="T135" i="260"/>
  <c r="T140" i="260"/>
  <c r="I34" i="260"/>
  <c r="T34" i="260" s="1"/>
  <c r="T153" i="260"/>
  <c r="T139" i="260"/>
  <c r="T138" i="260"/>
  <c r="T148" i="260"/>
  <c r="T159" i="260"/>
  <c r="T147" i="260"/>
  <c r="T151" i="260"/>
  <c r="T163" i="260"/>
  <c r="AA17" i="270"/>
  <c r="T127" i="260"/>
  <c r="T131" i="26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<sst xmlns="http://schemas.openxmlformats.org/spreadsheetml/2006/main" count="4826" uniqueCount="965">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</sst>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290284</xdr:colOff>
      <xdr:row>5</xdr:row>
      <xdr:rowOff>162239</xdr:rowOff>
    </xdr:from>
    <xdr:to>
      <xdr:col>42</xdr:col>
      <xdr:colOff>285238</xdr:colOff>
      <xdr:row>9</xdr:row>
      <xdr:rowOff>6560</xdr:rowOff>
    </xdr:to>
    <xdr:pic>
      <xdr:nvPicPr>
        <xdr:cNvPr id="2" name="Billed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9748498" y="1060310"/>
          <a:ext cx="9737669" cy="561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twoCellAnchor editAs="oneCell">
    <xdr:from>
      <xdr:col>9</xdr:col>
      <xdr:colOff>22412</xdr:colOff>
      <xdr:row>3</xdr:row>
      <xdr:rowOff>63404</xdr:rowOff>
    </xdr:from>
    <xdr:to>
      <xdr:col>11</xdr:col>
      <xdr:colOff>551205</xdr:colOff>
      <xdr:row>11</xdr:row>
      <xdr:rowOff>68573</xdr:rowOff>
    </xdr:to>
    <xdr:pic>
      <xdr:nvPicPr>
        <xdr:cNvPr id="4" name="Billed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9622118" y="534051"/>
          <a:ext cx="1761440" cy="16711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9.xml"/><Relationship Id="rId4" Type="http://schemas.openxmlformats.org/officeDocument/2006/relationships/image" Target="../media/image4.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6" t="s">
        <v>837</v>
      </c>
    </row>
    <row r="16" spans="2:3">
      <c r="B16" s="142" t="s">
        <v>295</v>
      </c>
      <c r="C16" s="566"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839</v>
      </c>
      <c r="C22" s="566" t="s">
        <v>843</v>
      </c>
    </row>
    <row r="23" spans="2:3">
      <c r="B23" s="569" t="s">
        <v>840</v>
      </c>
      <c r="C23" s="566" t="s">
        <v>842</v>
      </c>
    </row>
    <row r="24" spans="2:3">
      <c r="B24" s="568" t="s">
        <v>225</v>
      </c>
      <c r="C24" s="566" t="s">
        <v>844</v>
      </c>
    </row>
    <row r="25" spans="2:3">
      <c r="B25" s="568" t="s">
        <v>841</v>
      </c>
      <c r="C25" s="566" t="s">
        <v>845</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796</v>
      </c>
      <c r="C2" s="545" t="s">
        <v>153</v>
      </c>
      <c r="D2" s="106" t="s">
        <v>815</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814</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814</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797</v>
      </c>
      <c r="R18" s="127" t="s">
        <v>818</v>
      </c>
      <c r="S18" s="3"/>
      <c r="T18" s="3"/>
      <c r="U18" s="3"/>
      <c r="V18" s="3"/>
      <c r="W18" s="3"/>
      <c r="X18" s="3"/>
      <c r="Y18" s="3"/>
      <c r="Z18" s="3"/>
      <c r="AA18" s="3"/>
    </row>
    <row r="19" spans="2:27" ht="15" customHeight="1">
      <c r="B19" s="607"/>
      <c r="C19" s="608" t="str">
        <f>$C$2&amp;LEFT(L19,1)&amp;LEFT(N19,1)&amp;LEFT(M19,1)&amp;LEFT(O19,1)&amp;LEFT(P19,1)&amp;Q19</f>
        <v>RESBGA</v>
      </c>
      <c r="D19" s="609" t="str">
        <f>$D$2&amp;" "&amp;L19&amp;" "&amp;N19&amp;" "&amp;M19&amp;" "&amp;O19&amp;" "&amp;P19&amp;" "&amp;R19</f>
        <v>Residential      Biogas</v>
      </c>
      <c r="E19" s="607" t="s">
        <v>44</v>
      </c>
      <c r="F19" s="609"/>
      <c r="G19" s="609"/>
      <c r="H19" s="609"/>
      <c r="I19" s="609"/>
      <c r="J19" s="610"/>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812</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812</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812</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812</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812</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812</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812</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812</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812</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812</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812</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812</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812</v>
      </c>
      <c r="P81" s="127" t="s">
        <v>756</v>
      </c>
    </row>
    <row r="82" spans="2:16" ht="16.25" customHeight="1">
      <c r="B82" s="70" t="s">
        <v>118</v>
      </c>
      <c r="C82" s="105" t="s">
        <v>119</v>
      </c>
      <c r="D82" s="552" t="s">
        <v>121</v>
      </c>
      <c r="E82" s="552" t="s">
        <v>120</v>
      </c>
      <c r="F82" s="553"/>
      <c r="G82" s="553"/>
      <c r="H82" s="553"/>
      <c r="I82" s="553"/>
      <c r="J82" s="518"/>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88"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796</v>
      </c>
      <c r="D2" s="545" t="s">
        <v>153</v>
      </c>
      <c r="E2" s="106" t="s">
        <v>815</v>
      </c>
    </row>
    <row r="3" spans="2:19" ht="18">
      <c r="C3" s="545"/>
      <c r="D3" s="545"/>
      <c r="E3" s="106"/>
    </row>
    <row r="4" spans="2:19" ht="13">
      <c r="B4" s="63" t="s">
        <v>18</v>
      </c>
      <c r="C4" s="63"/>
      <c r="D4" s="64"/>
      <c r="E4" s="64"/>
      <c r="F4" s="64"/>
      <c r="G4" s="64"/>
      <c r="H4" s="64"/>
      <c r="I4" s="64"/>
      <c r="J4" s="64"/>
      <c r="K4" s="64"/>
      <c r="L4" s="648"/>
      <c r="M4" s="649"/>
      <c r="N4" s="649"/>
      <c r="O4" s="649"/>
      <c r="P4" s="649"/>
      <c r="Q4" s="649"/>
      <c r="R4" s="649"/>
      <c r="S4" s="649"/>
    </row>
    <row r="5" spans="2:19" ht="39">
      <c r="B5" s="65" t="s">
        <v>19</v>
      </c>
      <c r="C5" s="65" t="s">
        <v>1</v>
      </c>
      <c r="D5" s="65" t="s">
        <v>2</v>
      </c>
      <c r="E5" s="65" t="s">
        <v>3</v>
      </c>
      <c r="F5" s="65" t="s">
        <v>20</v>
      </c>
      <c r="G5" s="65" t="s">
        <v>21</v>
      </c>
      <c r="H5" s="65" t="s">
        <v>22</v>
      </c>
      <c r="I5" s="65" t="s">
        <v>23</v>
      </c>
      <c r="J5" s="65" t="s">
        <v>24</v>
      </c>
      <c r="K5" s="555"/>
      <c r="L5" s="296" t="s">
        <v>831</v>
      </c>
      <c r="M5" s="296" t="s">
        <v>774</v>
      </c>
      <c r="N5" s="296" t="s">
        <v>772</v>
      </c>
      <c r="O5" s="296" t="s">
        <v>773</v>
      </c>
      <c r="P5" s="296" t="s">
        <v>81</v>
      </c>
      <c r="Q5" s="296" t="s">
        <v>795</v>
      </c>
      <c r="R5" s="296" t="s">
        <v>810</v>
      </c>
      <c r="S5" s="296" t="s">
        <v>813</v>
      </c>
    </row>
    <row r="6" spans="2:19" ht="21.5" thickBot="1">
      <c r="B6" s="66" t="s">
        <v>28</v>
      </c>
      <c r="C6" s="66" t="s">
        <v>29</v>
      </c>
      <c r="D6" s="66" t="s">
        <v>30</v>
      </c>
      <c r="E6" s="66" t="s">
        <v>31</v>
      </c>
      <c r="F6" s="66" t="s">
        <v>32</v>
      </c>
      <c r="G6" s="66" t="s">
        <v>33</v>
      </c>
      <c r="H6" s="66" t="s">
        <v>34</v>
      </c>
      <c r="I6" s="66" t="s">
        <v>35</v>
      </c>
      <c r="J6" s="66" t="s">
        <v>36</v>
      </c>
      <c r="K6" s="556"/>
      <c r="L6" s="554" t="s">
        <v>834</v>
      </c>
      <c r="M6" s="554" t="s">
        <v>834</v>
      </c>
      <c r="N6" s="554" t="s">
        <v>834</v>
      </c>
      <c r="O6" s="554" t="s">
        <v>834</v>
      </c>
      <c r="P6" s="554" t="s">
        <v>834</v>
      </c>
      <c r="Q6" s="554" t="s">
        <v>834</v>
      </c>
      <c r="R6" s="554" t="s">
        <v>834</v>
      </c>
      <c r="S6" s="554"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814</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19" customFormat="1" ht="13">
      <c r="B41" s="626"/>
      <c r="C41" s="626"/>
      <c r="D41" s="627" t="str">
        <f t="shared" ref="D41" si="3">LEFT($D$2,1)&amp;LEFT(L41,1)&amp;LEFT(M41,1)&amp;LEFT(O41,1)&amp;LEFT(N41,1)&amp;P41&amp;LEFT(Q41,1)&amp;R41</f>
        <v>RFTELCOE1</v>
      </c>
      <c r="E41" s="627" t="str">
        <f t="shared" ref="E41" si="4">$E$2&amp;" "&amp;L41&amp;" "&amp;M41&amp;" "&amp;O41&amp;" "&amp;N41&amp;" - "&amp;T41&amp;" - "&amp;Q41&amp;" "&amp;R41</f>
        <v>Residential Food (Cooking) Technology   - Electricity Cooking - Existing 1</v>
      </c>
      <c r="F41" s="627" t="s">
        <v>44</v>
      </c>
      <c r="G41" s="627" t="s">
        <v>65</v>
      </c>
      <c r="H41" s="618" t="s">
        <v>112</v>
      </c>
      <c r="I41" s="628"/>
      <c r="J41" s="626"/>
      <c r="K41" s="626"/>
      <c r="L41" s="627" t="s">
        <v>832</v>
      </c>
      <c r="M41" s="629" t="s">
        <v>774</v>
      </c>
      <c r="O41" s="629"/>
      <c r="P41" s="619" t="str">
        <f>RIGHT(S41,LEN(S41)-3)</f>
        <v>ELCO</v>
      </c>
      <c r="Q41" s="630" t="s">
        <v>833</v>
      </c>
      <c r="R41" s="619">
        <v>1</v>
      </c>
      <c r="S41" s="631" t="str">
        <f>Commodities!$C$31</f>
        <v>RESELCO</v>
      </c>
      <c r="T41" s="619" t="str">
        <f>VLOOKUP(S41,Commodities!$C$18:$R$37,16,FALSE)</f>
        <v>Electricity Cooking</v>
      </c>
    </row>
    <row r="42" spans="2:20" s="619" customFormat="1" ht="13">
      <c r="B42" s="626"/>
      <c r="C42" s="626"/>
      <c r="D42" s="627" t="str">
        <f t="shared" ref="D42" si="5">LEFT($D$2,1)&amp;LEFT(L42,1)&amp;LEFT(M42,1)&amp;LEFT(O42,1)&amp;LEFT(N42,1)&amp;P42&amp;LEFT(Q42,1)&amp;R42</f>
        <v>RFTFIWE1</v>
      </c>
      <c r="E42" s="627" t="str">
        <f t="shared" ref="E42" si="6">$E$2&amp;" "&amp;L42&amp;" "&amp;M42&amp;" "&amp;O42&amp;" "&amp;N42&amp;" - "&amp;T42&amp;" - "&amp;Q42&amp;" "&amp;R42</f>
        <v>Residential Food (Cooking) Technology   - Fire wood - Existing 1</v>
      </c>
      <c r="F42" s="627" t="s">
        <v>44</v>
      </c>
      <c r="G42" s="627" t="s">
        <v>65</v>
      </c>
      <c r="H42" s="618" t="s">
        <v>112</v>
      </c>
      <c r="I42" s="628"/>
      <c r="J42" s="626"/>
      <c r="K42" s="626"/>
      <c r="L42" s="627" t="s">
        <v>832</v>
      </c>
      <c r="M42" s="629" t="s">
        <v>774</v>
      </c>
      <c r="O42" s="629"/>
      <c r="P42" s="619" t="str">
        <f>RIGHT(S42,LEN(S42)-3)</f>
        <v>FIW</v>
      </c>
      <c r="Q42" s="630" t="s">
        <v>833</v>
      </c>
      <c r="R42" s="619">
        <v>1</v>
      </c>
      <c r="S42" s="631" t="str">
        <f>Commodities!$C$24</f>
        <v>RESFIW</v>
      </c>
      <c r="T42" s="619"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3">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816</v>
      </c>
      <c r="M46" s="557" t="s">
        <v>774</v>
      </c>
      <c r="N46" s="187"/>
      <c r="O46" s="557"/>
      <c r="P46" s="187" t="str">
        <f t="shared" si="2"/>
        <v>NGA</v>
      </c>
      <c r="Q46" s="476" t="s">
        <v>833</v>
      </c>
      <c r="R46" s="187">
        <v>1</v>
      </c>
      <c r="S46" s="423" t="str">
        <f>Commodities!$C$18</f>
        <v>RESNGA</v>
      </c>
      <c r="T46" t="str">
        <f>VLOOKUP(S46,Commodities!$C$18:$R$37,16,FALSE)</f>
        <v>Natural Gas</v>
      </c>
    </row>
    <row r="47" spans="2:20" s="619" customFormat="1" ht="13">
      <c r="B47" s="636"/>
      <c r="C47" s="636"/>
      <c r="D47" s="635" t="str">
        <f t="shared" ref="D47" si="7">LEFT($D$2,1)&amp;LEFT(L47,1)&amp;LEFT(M47,1)&amp;LEFT(O47,1)&amp;LEFT(N47,1)&amp;P47&amp;LEFT(Q47,1)&amp;R47</f>
        <v>RWTDSLE1</v>
      </c>
      <c r="E47" s="635" t="str">
        <f t="shared" ref="E47" si="8">$E$2&amp;" "&amp;L47&amp;" "&amp;M47&amp;" "&amp;O47&amp;" "&amp;N47&amp;" - "&amp;T47&amp;" - "&amp;Q47&amp;" "&amp;R47</f>
        <v>Residential Water Hot Technology   - Diesel - Existing 1</v>
      </c>
      <c r="F47" s="635" t="s">
        <v>44</v>
      </c>
      <c r="G47" s="635" t="s">
        <v>65</v>
      </c>
      <c r="H47" s="637" t="s">
        <v>112</v>
      </c>
      <c r="I47" s="638"/>
      <c r="J47" s="636"/>
      <c r="K47" s="636"/>
      <c r="L47" s="635" t="s">
        <v>816</v>
      </c>
      <c r="M47" s="639" t="s">
        <v>774</v>
      </c>
      <c r="N47" s="640"/>
      <c r="O47" s="639"/>
      <c r="P47" s="640" t="str">
        <f t="shared" ref="P47" si="9">RIGHT(S47,LEN(S47)-3)</f>
        <v>DSL</v>
      </c>
      <c r="Q47" s="639" t="s">
        <v>833</v>
      </c>
      <c r="R47" s="640">
        <v>1</v>
      </c>
      <c r="S47" s="641" t="str">
        <f>Commodities!$C$21</f>
        <v>RESDSL</v>
      </c>
      <c r="T47" s="619" t="str">
        <f>VLOOKUP(S47,Commodities!$C$18:$R$37,16,FALSE)</f>
        <v>Diesel</v>
      </c>
    </row>
    <row r="48" spans="2:20" s="619" customFormat="1" ht="13">
      <c r="B48" s="636"/>
      <c r="C48" s="636"/>
      <c r="D48" s="635" t="str">
        <f t="shared" ref="D48" si="10">LEFT($D$2,1)&amp;LEFT(L48,1)&amp;LEFT(M48,1)&amp;LEFT(O48,1)&amp;LEFT(N48,1)&amp;P48&amp;LEFT(Q48,1)&amp;R48</f>
        <v>RWTSOLE1</v>
      </c>
      <c r="E48" s="635" t="str">
        <f t="shared" ref="E48" si="11">$E$2&amp;" "&amp;L48&amp;" "&amp;M48&amp;" "&amp;O48&amp;" "&amp;N48&amp;" - "&amp;T48&amp;" - "&amp;Q48&amp;" "&amp;R48</f>
        <v>Residential Water Hot Technology   - Solar - Existing 1</v>
      </c>
      <c r="F48" s="635" t="s">
        <v>44</v>
      </c>
      <c r="G48" s="635" t="s">
        <v>65</v>
      </c>
      <c r="H48" s="637" t="s">
        <v>112</v>
      </c>
      <c r="I48" s="638"/>
      <c r="J48" s="636"/>
      <c r="K48" s="636"/>
      <c r="L48" s="635" t="s">
        <v>816</v>
      </c>
      <c r="M48" s="639" t="s">
        <v>774</v>
      </c>
      <c r="N48" s="640"/>
      <c r="O48" s="639"/>
      <c r="P48" s="640" t="str">
        <f t="shared" ref="P48" si="12">RIGHT(S48,LEN(S48)-3)</f>
        <v>SOL</v>
      </c>
      <c r="Q48" s="639" t="s">
        <v>833</v>
      </c>
      <c r="R48" s="640">
        <v>1</v>
      </c>
      <c r="S48" s="641" t="str">
        <f>Commodities!$C$27</f>
        <v>RESSOL</v>
      </c>
      <c r="T48" s="619" t="str">
        <f>VLOOKUP(S48,Commodities!$C$18:$R$37,16,FALSE)</f>
        <v>Solar</v>
      </c>
    </row>
    <row r="49" spans="2:20" s="619" customFormat="1" ht="13">
      <c r="B49" s="636"/>
      <c r="C49" s="636"/>
      <c r="D49" s="635" t="str">
        <f t="shared" ref="D49" si="13">LEFT($D$2,1)&amp;LEFT(L49,1)&amp;LEFT(M49,1)&amp;LEFT(O49,1)&amp;LEFT(N49,1)&amp;P49&amp;LEFT(Q49,1)&amp;R49</f>
        <v>RWTELCHE1</v>
      </c>
      <c r="E49" s="635" t="str">
        <f t="shared" ref="E49" si="14">$E$2&amp;" "&amp;L49&amp;" "&amp;M49&amp;" "&amp;O49&amp;" "&amp;N49&amp;" - "&amp;T49&amp;" - "&amp;Q49&amp;" "&amp;R49</f>
        <v>Residential Water Hot Technology   - Electricity Heating - Existing 1</v>
      </c>
      <c r="F49" s="635" t="s">
        <v>44</v>
      </c>
      <c r="G49" s="635" t="s">
        <v>65</v>
      </c>
      <c r="H49" s="637" t="s">
        <v>112</v>
      </c>
      <c r="I49" s="638"/>
      <c r="J49" s="636"/>
      <c r="K49" s="636"/>
      <c r="L49" s="635" t="s">
        <v>816</v>
      </c>
      <c r="M49" s="639" t="s">
        <v>774</v>
      </c>
      <c r="N49" s="640"/>
      <c r="O49" s="639"/>
      <c r="P49" s="640" t="str">
        <f t="shared" ref="P49" si="15">RIGHT(S49,LEN(S49)-3)</f>
        <v>ELCH</v>
      </c>
      <c r="Q49" s="639" t="s">
        <v>833</v>
      </c>
      <c r="R49" s="640">
        <v>1</v>
      </c>
      <c r="S49" s="641" t="str">
        <f>Commodities!$C$28</f>
        <v>RESELCH</v>
      </c>
      <c r="T49" s="619" t="str">
        <f>VLOOKUP(S49,Commodities!$C$18:$R$37,16,FALSE)</f>
        <v>Electricity Heating</v>
      </c>
    </row>
    <row r="50" spans="2:20" s="619" customFormat="1" ht="13">
      <c r="B50" s="636"/>
      <c r="C50" s="636"/>
      <c r="D50" s="635" t="str">
        <f t="shared" ref="D50" si="16">LEFT($D$2,1)&amp;LEFT(L50,1)&amp;LEFT(M50,1)&amp;LEFT(O50,1)&amp;LEFT(N50,1)&amp;P50&amp;LEFT(Q50,1)&amp;R50</f>
        <v>RWTFIWE1</v>
      </c>
      <c r="E50" s="635" t="str">
        <f t="shared" ref="E50" si="17">$E$2&amp;" "&amp;L50&amp;" "&amp;M50&amp;" "&amp;O50&amp;" "&amp;N50&amp;" - "&amp;T50&amp;" - "&amp;Q50&amp;" "&amp;R50</f>
        <v>Residential Water Hot Technology   - Fire wood - Existing 1</v>
      </c>
      <c r="F50" s="635" t="s">
        <v>44</v>
      </c>
      <c r="G50" s="635" t="s">
        <v>65</v>
      </c>
      <c r="H50" s="637" t="s">
        <v>112</v>
      </c>
      <c r="I50" s="638"/>
      <c r="J50" s="636"/>
      <c r="K50" s="636"/>
      <c r="L50" s="635" t="s">
        <v>816</v>
      </c>
      <c r="M50" s="639" t="s">
        <v>774</v>
      </c>
      <c r="N50" s="640"/>
      <c r="O50" s="639"/>
      <c r="P50" s="640" t="str">
        <f t="shared" ref="P50" si="18">RIGHT(S50,LEN(S50)-3)</f>
        <v>FIW</v>
      </c>
      <c r="Q50" s="639" t="s">
        <v>833</v>
      </c>
      <c r="R50" s="640">
        <v>1</v>
      </c>
      <c r="S50" s="641" t="str">
        <f>Commodities!$C$24</f>
        <v>RESFIW</v>
      </c>
      <c r="T50" s="619" t="str">
        <f>VLOOKUP(S50,Commodities!$C$18:$R$37,16,FALSE)</f>
        <v>Fire wood</v>
      </c>
    </row>
    <row r="51" spans="2:20" s="619" customFormat="1" ht="13">
      <c r="B51" s="636"/>
      <c r="C51" s="636"/>
      <c r="D51" s="635" t="str">
        <f t="shared" ref="D51" si="19">LEFT($D$2,1)&amp;LEFT(L51,1)&amp;LEFT(M51,1)&amp;LEFT(O51,1)&amp;LEFT(N51,1)&amp;P51&amp;LEFT(Q51,1)&amp;R51</f>
        <v>RWTELCWE1</v>
      </c>
      <c r="E51" s="635" t="str">
        <f t="shared" ref="E51" si="20">$E$2&amp;" "&amp;L51&amp;" "&amp;M51&amp;" "&amp;O51&amp;" "&amp;N51&amp;" - "&amp;T51&amp;" - "&amp;Q51&amp;" "&amp;R51</f>
        <v>Residential Water Hot Technology   - Electricity Water Heating - Existing 1</v>
      </c>
      <c r="F51" s="635" t="s">
        <v>44</v>
      </c>
      <c r="G51" s="635" t="s">
        <v>65</v>
      </c>
      <c r="H51" s="637" t="s">
        <v>112</v>
      </c>
      <c r="I51" s="638"/>
      <c r="J51" s="636"/>
      <c r="K51" s="636"/>
      <c r="L51" s="635" t="s">
        <v>816</v>
      </c>
      <c r="M51" s="639" t="s">
        <v>774</v>
      </c>
      <c r="N51" s="640"/>
      <c r="O51" s="639"/>
      <c r="P51" s="640" t="str">
        <f t="shared" ref="P51" si="21">RIGHT(S51,LEN(S51)-3)</f>
        <v>ELCW</v>
      </c>
      <c r="Q51" s="639" t="s">
        <v>833</v>
      </c>
      <c r="R51" s="640">
        <v>1</v>
      </c>
      <c r="S51" s="641" t="str">
        <f>Commodities!$C$32</f>
        <v>RESELCW</v>
      </c>
      <c r="T51" s="619" t="str">
        <f>VLOOKUP(S51,Commodities!$C$18:$R$37,16,FALSE)</f>
        <v>Electricity Water Heating</v>
      </c>
    </row>
    <row r="52" spans="2:20" s="619" customFormat="1" ht="13">
      <c r="B52" s="636"/>
      <c r="C52" s="636"/>
      <c r="D52" s="635" t="str">
        <f t="shared" ref="D52" si="22">LEFT($D$2,1)&amp;LEFT(L52,1)&amp;LEFT(M52,1)&amp;LEFT(O52,1)&amp;LEFT(N52,1)&amp;P52&amp;LEFT(Q52,1)&amp;R52</f>
        <v>RWTHCEE1</v>
      </c>
      <c r="E52" s="635" t="str">
        <f t="shared" ref="E52" si="23">$E$2&amp;" "&amp;L52&amp;" "&amp;M52&amp;" "&amp;O52&amp;" "&amp;N52&amp;" - "&amp;T52&amp;" - "&amp;Q52&amp;" "&amp;R52</f>
        <v>Residential Water Hot Technology   - District heating Central - Existing 1</v>
      </c>
      <c r="F52" s="635" t="s">
        <v>44</v>
      </c>
      <c r="G52" s="635" t="s">
        <v>65</v>
      </c>
      <c r="H52" s="637" t="s">
        <v>112</v>
      </c>
      <c r="I52" s="638"/>
      <c r="J52" s="636"/>
      <c r="K52" s="636"/>
      <c r="L52" s="635" t="s">
        <v>816</v>
      </c>
      <c r="M52" s="639" t="s">
        <v>774</v>
      </c>
      <c r="N52" s="640"/>
      <c r="O52" s="639"/>
      <c r="P52" s="640" t="str">
        <f t="shared" ref="P52" si="24">RIGHT(S52,LEN(S52)-3)</f>
        <v>HCE</v>
      </c>
      <c r="Q52" s="639" t="s">
        <v>833</v>
      </c>
      <c r="R52" s="640">
        <v>1</v>
      </c>
      <c r="S52" s="641" t="str">
        <f>Commodities!$C$33</f>
        <v>RESHCE</v>
      </c>
      <c r="T52" s="619"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19" customFormat="1" ht="13">
      <c r="B57" s="615"/>
      <c r="C57" s="615"/>
      <c r="D57" s="617" t="str">
        <f t="shared" si="1"/>
        <v>RHTUDCOAE1</v>
      </c>
      <c r="E57" s="632" t="str">
        <f t="shared" si="0"/>
        <v>Residential Heating Technology Urban Detached - Coal - Existing 1</v>
      </c>
      <c r="F57" s="617" t="s">
        <v>44</v>
      </c>
      <c r="G57" s="617" t="s">
        <v>65</v>
      </c>
      <c r="H57" s="618" t="s">
        <v>112</v>
      </c>
      <c r="I57" s="615"/>
      <c r="J57" s="615"/>
      <c r="K57" s="615"/>
      <c r="L57" s="627" t="s">
        <v>767</v>
      </c>
      <c r="M57" s="629" t="s">
        <v>774</v>
      </c>
      <c r="N57" s="629" t="s">
        <v>116</v>
      </c>
      <c r="O57" s="629" t="s">
        <v>736</v>
      </c>
      <c r="P57" s="619" t="str">
        <f t="shared" si="25"/>
        <v>COA</v>
      </c>
      <c r="Q57" s="630" t="s">
        <v>833</v>
      </c>
      <c r="R57" s="619">
        <v>1</v>
      </c>
      <c r="S57" s="633" t="str">
        <f>Commodities!$C$25</f>
        <v>RESCOA</v>
      </c>
      <c r="T57" s="619"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3">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9" customFormat="1">
      <c r="B104" s="615"/>
      <c r="C104" s="615"/>
      <c r="D104" s="615" t="str">
        <f>"FT-"&amp;$D$2&amp;RIGHT(Commodities!C25,3)</f>
        <v>FT-RESCOA</v>
      </c>
      <c r="E104" s="616" t="str">
        <f>"Fuel Technology "&amp;Commodities!D25</f>
        <v>Fuel Technology Residential      Coal</v>
      </c>
      <c r="F104" s="617" t="s">
        <v>44</v>
      </c>
      <c r="G104" s="617" t="s">
        <v>66</v>
      </c>
      <c r="H104" s="615"/>
      <c r="I104" s="615"/>
      <c r="J104" s="615"/>
      <c r="K104" s="615"/>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9" customFormat="1">
      <c r="B110" s="615"/>
      <c r="C110" s="615"/>
      <c r="D110" s="615" t="str">
        <f>"FT-"&amp;$D$2&amp;RIGHT(Commodities!C31,3)</f>
        <v>FT-RESLCO</v>
      </c>
      <c r="E110" s="616" t="str">
        <f>"Fuel Technology for "&amp;Commodities!D31</f>
        <v>Fuel Technology for Residential      Electricity Cooking</v>
      </c>
      <c r="F110" s="617" t="s">
        <v>44</v>
      </c>
      <c r="G110" s="617" t="s">
        <v>66</v>
      </c>
      <c r="H110" s="618" t="s">
        <v>112</v>
      </c>
      <c r="I110" s="615"/>
      <c r="J110" s="615"/>
      <c r="K110" s="615"/>
    </row>
    <row r="111" spans="2:19" s="619" customFormat="1">
      <c r="B111" s="615"/>
      <c r="C111" s="615"/>
      <c r="D111" s="615" t="str">
        <f>"FT-"&amp;$D$2&amp;RIGHT(Commodities!C32,3)</f>
        <v>FT-RESLCW</v>
      </c>
      <c r="E111" s="616" t="str">
        <f>"Fuel Technology for "&amp;Commodities!D32</f>
        <v>Fuel Technology for Residential      Electricity Water Heating</v>
      </c>
      <c r="F111" s="617" t="s">
        <v>44</v>
      </c>
      <c r="G111" s="617" t="s">
        <v>66</v>
      </c>
      <c r="H111" s="618" t="s">
        <v>112</v>
      </c>
      <c r="I111" s="615"/>
      <c r="J111" s="615"/>
      <c r="K111" s="615"/>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849</v>
      </c>
      <c r="E6" s="193" t="str">
        <f>Commodities!C18</f>
        <v>RESNGA</v>
      </c>
      <c r="F6" s="194">
        <v>1</v>
      </c>
      <c r="G6" s="193">
        <v>50</v>
      </c>
      <c r="H6" s="279"/>
      <c r="I6" s="279"/>
    </row>
    <row r="7" spans="2:9" s="619" customFormat="1" ht="13" thickBot="1">
      <c r="B7" s="623" t="str">
        <f>Processes!D97</f>
        <v>FT-RESBGA</v>
      </c>
      <c r="C7" s="623" t="str">
        <f>Processes!E97</f>
        <v>Fuel Technology Residential      Biogas</v>
      </c>
      <c r="D7" s="623" t="s">
        <v>922</v>
      </c>
      <c r="E7" s="623" t="str">
        <f>Commodities!C19</f>
        <v>RESBGA</v>
      </c>
      <c r="F7" s="624">
        <v>1</v>
      </c>
      <c r="G7" s="623">
        <v>50</v>
      </c>
      <c r="H7" s="625"/>
      <c r="I7" s="625"/>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19" customFormat="1">
      <c r="B20" s="620" t="str">
        <f>Processes!D110</f>
        <v>FT-RESLCO</v>
      </c>
      <c r="C20" s="620" t="str">
        <f>Processes!E110</f>
        <v>Fuel Technology for Residential      Electricity Cooking</v>
      </c>
      <c r="D20" s="620" t="s">
        <v>848</v>
      </c>
      <c r="E20" s="620" t="str">
        <f>Commodities!C31</f>
        <v>RESELCO</v>
      </c>
      <c r="F20" s="621">
        <v>1</v>
      </c>
      <c r="G20" s="620">
        <v>50</v>
      </c>
      <c r="H20" s="622"/>
      <c r="I20" s="622"/>
    </row>
    <row r="21" spans="2:9" s="619" customFormat="1">
      <c r="B21" s="620" t="str">
        <f>Processes!D111</f>
        <v>FT-RESLCW</v>
      </c>
      <c r="C21" s="620" t="str">
        <f>Processes!E111</f>
        <v>Fuel Technology for Residential      Electricity Water Heating</v>
      </c>
      <c r="D21" s="620" t="s">
        <v>848</v>
      </c>
      <c r="E21" s="620" t="str">
        <f>Commodities!C32</f>
        <v>RESELCW</v>
      </c>
      <c r="F21" s="621">
        <v>1</v>
      </c>
      <c r="G21" s="620">
        <v>50</v>
      </c>
      <c r="H21" s="622"/>
      <c r="I21" s="622"/>
    </row>
    <row r="22" spans="2:9">
      <c r="B22" s="1" t="str">
        <f>Processes!D112</f>
        <v>FT-RESHCE</v>
      </c>
      <c r="C22" s="1" t="str">
        <f>Processes!E112</f>
        <v>Fuel Technology Residential      District heating Central</v>
      </c>
      <c r="D22" s="475" t="s">
        <v>846</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847</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937</v>
      </c>
      <c r="Y4" s="439" t="s">
        <v>237</v>
      </c>
      <c r="Z4" s="440" t="s">
        <v>238</v>
      </c>
      <c r="AA4" s="438" t="s">
        <v>937</v>
      </c>
      <c r="AB4" s="439" t="s">
        <v>237</v>
      </c>
      <c r="AC4" s="440" t="s">
        <v>238</v>
      </c>
    </row>
    <row r="5" spans="2:30" ht="26">
      <c r="B5" s="238" t="s">
        <v>2</v>
      </c>
      <c r="C5" s="238" t="s">
        <v>26</v>
      </c>
      <c r="D5" s="422" t="s">
        <v>784</v>
      </c>
      <c r="E5" s="422" t="s">
        <v>785</v>
      </c>
      <c r="F5" s="238" t="s">
        <v>14</v>
      </c>
      <c r="G5" s="238" t="s">
        <v>15</v>
      </c>
      <c r="H5" s="422" t="s">
        <v>108</v>
      </c>
      <c r="I5" s="239" t="s">
        <v>938</v>
      </c>
      <c r="J5" s="239" t="s">
        <v>749</v>
      </c>
      <c r="K5" s="239" t="s">
        <v>750</v>
      </c>
      <c r="L5" s="240" t="s">
        <v>939</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4"/>
    </row>
    <row r="10" spans="2:30" ht="14.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P1" zoomScale="70" zoomScaleNormal="70" workbookViewId="0">
      <selection activeCell="C9" sqref="C9"/>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835</v>
      </c>
      <c r="F1" s="228"/>
      <c r="G1" s="229" t="s">
        <v>181</v>
      </c>
      <c r="H1" s="229"/>
      <c r="I1" s="271">
        <v>1.05</v>
      </c>
      <c r="J1" s="271"/>
      <c r="K1" s="271"/>
      <c r="O1" s="231"/>
      <c r="U1" s="233"/>
      <c r="V1" s="295"/>
      <c r="W1" s="233"/>
      <c r="X1" s="233"/>
      <c r="Y1" s="233" t="s">
        <v>789</v>
      </c>
      <c r="Z1" s="614">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4">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937</v>
      </c>
      <c r="Z3" s="439" t="s">
        <v>237</v>
      </c>
      <c r="AA3" s="440" t="s">
        <v>238</v>
      </c>
      <c r="AB3" s="438" t="s">
        <v>937</v>
      </c>
      <c r="AC3" s="439" t="s">
        <v>237</v>
      </c>
      <c r="AD3" s="440" t="s">
        <v>238</v>
      </c>
      <c r="AG3" s="236"/>
      <c r="AH3" s="237"/>
      <c r="AI3" s="237"/>
      <c r="AJ3" s="237"/>
      <c r="AK3" s="237"/>
      <c r="AL3" s="237"/>
    </row>
    <row r="4" spans="2:53">
      <c r="B4" s="238" t="s">
        <v>2</v>
      </c>
      <c r="C4" s="238" t="s">
        <v>26</v>
      </c>
      <c r="D4" s="422" t="s">
        <v>784</v>
      </c>
      <c r="E4" s="422" t="s">
        <v>785</v>
      </c>
      <c r="F4" s="238" t="s">
        <v>14</v>
      </c>
      <c r="G4" s="238" t="s">
        <v>15</v>
      </c>
      <c r="H4" s="422" t="s">
        <v>108</v>
      </c>
      <c r="I4" s="239" t="s">
        <v>938</v>
      </c>
      <c r="J4" s="239" t="s">
        <v>749</v>
      </c>
      <c r="K4" s="239" t="s">
        <v>750</v>
      </c>
      <c r="L4" s="240" t="s">
        <v>939</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56790.299999999996</v>
      </c>
      <c r="J6" s="250">
        <f>ROUNDUP(AC6/($O6*$P6)*$R6,1)</f>
        <v>0</v>
      </c>
      <c r="K6" s="250">
        <f>ROUNDUP(AD6/($O6*$P6)*$R6,1)</f>
        <v>0</v>
      </c>
      <c r="L6" s="463">
        <v>0.72</v>
      </c>
      <c r="M6" s="463">
        <v>0.72</v>
      </c>
      <c r="N6" s="463">
        <v>0.72</v>
      </c>
      <c r="O6" s="244">
        <f>31.536/1000</f>
        <v>3.1536000000000002E-2</v>
      </c>
      <c r="P6" s="460">
        <v>0.15</v>
      </c>
      <c r="Q6" s="245">
        <v>22</v>
      </c>
      <c r="R6" s="227">
        <v>1.05</v>
      </c>
      <c r="T6" s="268">
        <f>SUM(I6:K6)*O6*P6/L6</f>
        <v>373.11227100000002</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67954</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452.74591774647888</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V8" s="604" t="s">
        <v>206</v>
      </c>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16128.7</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117.37719306206297</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2710.7999999999997</v>
      </c>
      <c r="J10" s="250">
        <f t="shared" si="3"/>
        <v>0</v>
      </c>
      <c r="K10" s="250">
        <f t="shared" si="4"/>
        <v>0</v>
      </c>
      <c r="L10" s="464">
        <v>0.7</v>
      </c>
      <c r="M10" s="464">
        <v>0.7</v>
      </c>
      <c r="N10" s="464">
        <v>0.7</v>
      </c>
      <c r="O10" s="244">
        <f t="shared" si="7"/>
        <v>3.1536000000000002E-2</v>
      </c>
      <c r="P10" s="460">
        <v>0.15</v>
      </c>
      <c r="Q10" s="245">
        <v>20</v>
      </c>
      <c r="R10" s="227">
        <v>1.05</v>
      </c>
      <c r="T10" s="268">
        <f t="shared" si="5"/>
        <v>18.318811885714286</v>
      </c>
      <c r="U10" s="268"/>
      <c r="V10" s="604"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236.2</v>
      </c>
      <c r="J11" s="250">
        <f t="shared" si="3"/>
        <v>0</v>
      </c>
      <c r="K11" s="250">
        <f t="shared" si="4"/>
        <v>0</v>
      </c>
      <c r="L11" s="464">
        <v>1</v>
      </c>
      <c r="M11" s="464">
        <v>1</v>
      </c>
      <c r="N11" s="464">
        <v>1</v>
      </c>
      <c r="O11" s="244">
        <f t="shared" si="7"/>
        <v>3.1536000000000002E-2</v>
      </c>
      <c r="P11" s="460">
        <v>0.15</v>
      </c>
      <c r="Q11" s="245">
        <v>20</v>
      </c>
      <c r="R11" s="227">
        <v>1.05</v>
      </c>
      <c r="T11" s="268">
        <f t="shared" si="5"/>
        <v>1.1173204800000001</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3804.6</v>
      </c>
      <c r="J12" s="250">
        <f t="shared" si="3"/>
        <v>0</v>
      </c>
      <c r="K12" s="250">
        <f t="shared" si="4"/>
        <v>0</v>
      </c>
      <c r="L12" s="464">
        <v>1</v>
      </c>
      <c r="M12" s="464">
        <v>1</v>
      </c>
      <c r="N12" s="464">
        <v>1</v>
      </c>
      <c r="O12" s="244">
        <f t="shared" si="7"/>
        <v>3.1536000000000002E-2</v>
      </c>
      <c r="P12" s="460">
        <v>0.15</v>
      </c>
      <c r="Q12" s="245">
        <v>30</v>
      </c>
      <c r="R12" s="227">
        <v>1.05</v>
      </c>
      <c r="T12" s="268">
        <f t="shared" si="5"/>
        <v>17.997279840000001</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4155.6000000000004</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8.4914255896328292</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27961</v>
      </c>
      <c r="J14" s="574">
        <v>0</v>
      </c>
      <c r="K14" s="574">
        <v>0</v>
      </c>
      <c r="L14" s="464">
        <v>0.95</v>
      </c>
      <c r="M14" s="464">
        <v>0.95</v>
      </c>
      <c r="N14" s="464">
        <v>0.95</v>
      </c>
      <c r="O14" s="244">
        <f t="shared" si="7"/>
        <v>3.1536000000000002E-2</v>
      </c>
      <c r="P14" s="460">
        <v>0.15</v>
      </c>
      <c r="Q14" s="245">
        <v>30</v>
      </c>
      <c r="R14" s="227">
        <v>1.05</v>
      </c>
      <c r="T14" s="268">
        <f t="shared" si="5"/>
        <v>139.22812042105261</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2733.7</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13.612099452631579</v>
      </c>
      <c r="U15" s="268"/>
      <c r="V15" s="604"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47327.199999999997</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283.3880846582278</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57428.2</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343.87133832911388</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V18" s="604" t="s">
        <v>206</v>
      </c>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12627.1</v>
      </c>
      <c r="J19" s="250">
        <f t="shared" si="12"/>
        <v>0</v>
      </c>
      <c r="K19" s="250">
        <f t="shared" si="13"/>
        <v>0</v>
      </c>
      <c r="L19" s="464">
        <v>0.67</v>
      </c>
      <c r="M19" s="464">
        <v>0.67</v>
      </c>
      <c r="N19" s="464">
        <v>0.67</v>
      </c>
      <c r="O19" s="244">
        <f>31.536/1000</f>
        <v>3.1536000000000002E-2</v>
      </c>
      <c r="P19" s="460">
        <v>0.15</v>
      </c>
      <c r="Q19" s="245">
        <v>20</v>
      </c>
      <c r="R19" s="227">
        <v>1.05</v>
      </c>
      <c r="T19" s="268">
        <f t="shared" si="5"/>
        <v>89.15109528358208</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2117.6999999999998</v>
      </c>
      <c r="J20" s="250">
        <f t="shared" si="12"/>
        <v>0</v>
      </c>
      <c r="K20" s="250">
        <f t="shared" si="13"/>
        <v>0</v>
      </c>
      <c r="L20" s="464">
        <v>0.72</v>
      </c>
      <c r="M20" s="464">
        <v>0.72</v>
      </c>
      <c r="N20" s="464">
        <v>0.72</v>
      </c>
      <c r="O20" s="244">
        <f t="shared" si="7"/>
        <v>3.1536000000000002E-2</v>
      </c>
      <c r="P20" s="460">
        <v>0.15</v>
      </c>
      <c r="Q20" s="245">
        <v>20</v>
      </c>
      <c r="R20" s="227">
        <v>1.05</v>
      </c>
      <c r="T20" s="268">
        <f t="shared" si="5"/>
        <v>13.913288999999999</v>
      </c>
      <c r="U20" s="268"/>
      <c r="V20" s="604"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179.4</v>
      </c>
      <c r="J21" s="250">
        <f t="shared" si="12"/>
        <v>0</v>
      </c>
      <c r="K21" s="250">
        <f t="shared" si="13"/>
        <v>0</v>
      </c>
      <c r="L21" s="464">
        <v>1</v>
      </c>
      <c r="M21" s="464">
        <v>1</v>
      </c>
      <c r="N21" s="464">
        <v>1</v>
      </c>
      <c r="O21" s="244">
        <f t="shared" si="7"/>
        <v>3.1536000000000002E-2</v>
      </c>
      <c r="P21" s="460">
        <v>0.15</v>
      </c>
      <c r="Q21" s="245">
        <v>20</v>
      </c>
      <c r="R21" s="227">
        <v>1.05</v>
      </c>
      <c r="T21" s="268">
        <f t="shared" si="5"/>
        <v>0.84863376000000001</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2889.7</v>
      </c>
      <c r="J22" s="250">
        <f t="shared" si="12"/>
        <v>0</v>
      </c>
      <c r="K22" s="250">
        <f t="shared" si="13"/>
        <v>0</v>
      </c>
      <c r="L22" s="464">
        <v>1</v>
      </c>
      <c r="M22" s="464">
        <v>1</v>
      </c>
      <c r="N22" s="464">
        <v>1</v>
      </c>
      <c r="O22" s="244">
        <f t="shared" si="7"/>
        <v>3.1536000000000002E-2</v>
      </c>
      <c r="P22" s="460">
        <v>0.15</v>
      </c>
      <c r="Q22" s="245">
        <v>30</v>
      </c>
      <c r="R22" s="227">
        <v>1.05</v>
      </c>
      <c r="T22" s="268">
        <f t="shared" si="5"/>
        <v>13.669436879999999</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3156.2999999999997</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6.4494866177105825</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2141.9</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10.338820163265307</v>
      </c>
      <c r="U25" s="268"/>
      <c r="V25" s="604"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33398.1</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219.42551700000001</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3" si="20">ROUNDUP(AB27/($O27*$P27)*$R27,1)</f>
        <v>39963.5</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266.25822591549297</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V28" s="604" t="s">
        <v>206</v>
      </c>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9485.3000000000011</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69.029611149788025</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1594.1999999999998</v>
      </c>
      <c r="J30" s="250">
        <f t="shared" si="21"/>
        <v>0</v>
      </c>
      <c r="K30" s="250">
        <f t="shared" si="22"/>
        <v>0</v>
      </c>
      <c r="L30" s="464">
        <v>0.7</v>
      </c>
      <c r="M30" s="464">
        <v>0.7</v>
      </c>
      <c r="N30" s="464">
        <v>0.7</v>
      </c>
      <c r="O30" s="244">
        <f t="shared" si="23"/>
        <v>3.1536000000000002E-2</v>
      </c>
      <c r="P30" s="460">
        <v>0.15</v>
      </c>
      <c r="Q30" s="245">
        <v>20</v>
      </c>
      <c r="R30" s="227">
        <v>1.05</v>
      </c>
      <c r="T30" s="268">
        <f t="shared" si="5"/>
        <v>10.773148114285714</v>
      </c>
      <c r="U30" s="268"/>
      <c r="V30" s="604"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138.9</v>
      </c>
      <c r="J31" s="250">
        <f t="shared" si="21"/>
        <v>0</v>
      </c>
      <c r="K31" s="250">
        <f t="shared" si="22"/>
        <v>0</v>
      </c>
      <c r="L31" s="464">
        <v>1</v>
      </c>
      <c r="M31" s="464">
        <v>1</v>
      </c>
      <c r="N31" s="464">
        <v>1</v>
      </c>
      <c r="O31" s="244">
        <f t="shared" si="23"/>
        <v>3.1536000000000002E-2</v>
      </c>
      <c r="P31" s="460">
        <v>0.15</v>
      </c>
      <c r="Q31" s="245">
        <v>20</v>
      </c>
      <c r="R31" s="227">
        <v>1.05</v>
      </c>
      <c r="T31" s="268">
        <f t="shared" si="5"/>
        <v>0.65705256000000001</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2237.5</v>
      </c>
      <c r="J32" s="250">
        <f t="shared" si="21"/>
        <v>0</v>
      </c>
      <c r="K32" s="250">
        <f t="shared" si="22"/>
        <v>0</v>
      </c>
      <c r="L32" s="464">
        <v>1</v>
      </c>
      <c r="M32" s="464">
        <v>1</v>
      </c>
      <c r="N32" s="464">
        <v>1</v>
      </c>
      <c r="O32" s="244">
        <f t="shared" si="23"/>
        <v>3.1536000000000002E-2</v>
      </c>
      <c r="P32" s="460">
        <v>0.15</v>
      </c>
      <c r="Q32" s="245">
        <v>30</v>
      </c>
      <c r="R32" s="227">
        <v>1.05</v>
      </c>
      <c r="T32" s="268">
        <f t="shared" si="5"/>
        <v>10.58427</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2443.9</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4.9937903066954652</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574">
        <f>ROUNDUP(AB34/($O34*$P34)*$I$1,1)+ROUNDUP(AC34/($O34*$P34)*$I$1,1)+ROUNDUP(AD34/($O34*$P34)*$I$1,1)+ROUNDUP(AB44/($O44*$P44)*$I$1,1)+ROUNDUP(AC44/($O44*$P44)*$I$1,1)+ROUNDUP(AD44/($O44*$P44)*$I$1,1)</f>
        <v>9759</v>
      </c>
      <c r="J34" s="574">
        <v>0</v>
      </c>
      <c r="K34" s="574">
        <v>0</v>
      </c>
      <c r="L34" s="464">
        <v>0.95</v>
      </c>
      <c r="M34" s="464">
        <v>0.95</v>
      </c>
      <c r="N34" s="464">
        <v>0.95</v>
      </c>
      <c r="O34" s="244">
        <f t="shared" si="23"/>
        <v>3.1536000000000002E-2</v>
      </c>
      <c r="P34" s="460">
        <v>0.15</v>
      </c>
      <c r="Q34" s="245">
        <v>30</v>
      </c>
      <c r="R34" s="227">
        <v>1.05</v>
      </c>
      <c r="T34" s="268">
        <f t="shared" si="5"/>
        <v>48.593656421052643</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786</v>
      </c>
      <c r="F35" s="256" t="str">
        <f>Commodities!$C$20</f>
        <v>RESLPG</v>
      </c>
      <c r="G35" s="256" t="str">
        <f>G33</f>
        <v>RESHUMB</v>
      </c>
      <c r="H35" s="423">
        <v>2010</v>
      </c>
      <c r="I35" s="297">
        <f t="shared" ref="I35" si="24">ROUNDUP(AB35/($O35*$P35)*$R35,1)</f>
        <v>1607.6999999999998</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8.0053306105263164</v>
      </c>
      <c r="U35" s="268"/>
      <c r="V35" s="604"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2077.1</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12.43735929113924</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2520.4</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15.091772354430379</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V38" s="604" t="s">
        <v>206</v>
      </c>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554.20000000000005</v>
      </c>
      <c r="J39" s="250">
        <f t="shared" si="28"/>
        <v>0</v>
      </c>
      <c r="K39" s="250">
        <f t="shared" si="29"/>
        <v>0</v>
      </c>
      <c r="L39" s="464">
        <v>0.67</v>
      </c>
      <c r="M39" s="464">
        <v>0.67</v>
      </c>
      <c r="N39" s="464">
        <v>0.67</v>
      </c>
      <c r="O39" s="244">
        <f>31.536/1000</f>
        <v>3.1536000000000002E-2</v>
      </c>
      <c r="P39" s="460">
        <v>0.15</v>
      </c>
      <c r="Q39" s="245">
        <v>20</v>
      </c>
      <c r="R39" s="227">
        <v>1.05</v>
      </c>
      <c r="T39" s="268">
        <f t="shared" si="5"/>
        <v>3.912817432835821</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93</v>
      </c>
      <c r="J40" s="250">
        <f t="shared" si="28"/>
        <v>0</v>
      </c>
      <c r="K40" s="250">
        <f t="shared" si="29"/>
        <v>0</v>
      </c>
      <c r="L40" s="464">
        <v>0.72</v>
      </c>
      <c r="M40" s="464">
        <v>0.72</v>
      </c>
      <c r="N40" s="464">
        <v>0.72</v>
      </c>
      <c r="O40" s="244">
        <f t="shared" si="23"/>
        <v>3.1536000000000002E-2</v>
      </c>
      <c r="P40" s="460">
        <v>0.15</v>
      </c>
      <c r="Q40" s="245">
        <v>20</v>
      </c>
      <c r="R40" s="227">
        <v>1.05</v>
      </c>
      <c r="T40" s="268">
        <f t="shared" si="5"/>
        <v>0.61101000000000005</v>
      </c>
      <c r="U40" s="268"/>
      <c r="V40" s="604"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7.8999999999999995</v>
      </c>
      <c r="J41" s="250">
        <f t="shared" si="28"/>
        <v>0</v>
      </c>
      <c r="K41" s="250">
        <f t="shared" si="29"/>
        <v>0</v>
      </c>
      <c r="L41" s="464">
        <v>1</v>
      </c>
      <c r="M41" s="464">
        <v>1</v>
      </c>
      <c r="N41" s="464">
        <v>1</v>
      </c>
      <c r="O41" s="244">
        <f t="shared" si="23"/>
        <v>3.1536000000000002E-2</v>
      </c>
      <c r="P41" s="460">
        <v>0.15</v>
      </c>
      <c r="Q41" s="245">
        <v>20</v>
      </c>
      <c r="R41" s="227">
        <v>1.05</v>
      </c>
      <c r="T41" s="268">
        <f t="shared" si="5"/>
        <v>3.7370159999999999E-2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126.89999999999999</v>
      </c>
      <c r="J42" s="250">
        <f t="shared" si="28"/>
        <v>0</v>
      </c>
      <c r="K42" s="250">
        <f t="shared" si="29"/>
        <v>0</v>
      </c>
      <c r="L42" s="464">
        <v>1</v>
      </c>
      <c r="M42" s="464">
        <v>1</v>
      </c>
      <c r="N42" s="464">
        <v>1</v>
      </c>
      <c r="O42" s="244">
        <f t="shared" si="23"/>
        <v>3.1536000000000002E-2</v>
      </c>
      <c r="P42" s="460">
        <v>0.15</v>
      </c>
      <c r="Q42" s="245">
        <v>30</v>
      </c>
      <c r="R42" s="227">
        <v>1.05</v>
      </c>
      <c r="T42" s="268">
        <f t="shared" si="5"/>
        <v>0.60028775999999995</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138.6</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0.28321098920086396</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786</v>
      </c>
      <c r="F45" s="539" t="str">
        <f>F35</f>
        <v>RESLPG</v>
      </c>
      <c r="G45" s="425" t="str">
        <f>G43</f>
        <v>RESHRMB</v>
      </c>
      <c r="H45" s="425">
        <v>2010</v>
      </c>
      <c r="I45" s="297">
        <f t="shared" ref="I45" si="30">ROUNDUP(AB45/($O45*$P45)*$R45,1)</f>
        <v>94.1</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0.45421493877551017</v>
      </c>
      <c r="U45" s="268"/>
      <c r="V45" s="604"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47402.799999999996</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311.436396</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56102.6</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373.78554794366198</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V48" s="604" t="s">
        <v>206</v>
      </c>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13086.7</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95.238928893543786</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1608.3999999999999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10.869107657142857</v>
      </c>
      <c r="U50" s="268"/>
      <c r="V50" s="604"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335.8</v>
      </c>
      <c r="J51" s="250">
        <f t="shared" si="38"/>
        <v>0</v>
      </c>
      <c r="K51" s="250">
        <f t="shared" si="39"/>
        <v>0</v>
      </c>
      <c r="L51" s="464">
        <v>1</v>
      </c>
      <c r="M51" s="464">
        <v>1</v>
      </c>
      <c r="N51" s="464">
        <v>1</v>
      </c>
      <c r="O51" s="244">
        <f t="shared" si="42"/>
        <v>3.1536000000000002E-2</v>
      </c>
      <c r="P51" s="460">
        <v>0.15</v>
      </c>
      <c r="Q51" s="245">
        <v>20</v>
      </c>
      <c r="R51" s="227">
        <v>1.0900000000000001</v>
      </c>
      <c r="T51" s="268">
        <f t="shared" si="5"/>
        <v>1.58846832</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3119.5</v>
      </c>
      <c r="J52" s="250">
        <f t="shared" si="38"/>
        <v>0</v>
      </c>
      <c r="K52" s="250">
        <f t="shared" si="39"/>
        <v>0</v>
      </c>
      <c r="L52" s="464">
        <v>1</v>
      </c>
      <c r="M52" s="464">
        <v>1</v>
      </c>
      <c r="N52" s="464">
        <v>1</v>
      </c>
      <c r="O52" s="244">
        <f t="shared" si="42"/>
        <v>3.1536000000000002E-2</v>
      </c>
      <c r="P52" s="460">
        <v>0.15</v>
      </c>
      <c r="Q52" s="245">
        <v>30</v>
      </c>
      <c r="R52" s="227">
        <v>1.0900000000000001</v>
      </c>
      <c r="T52" s="268">
        <f t="shared" si="5"/>
        <v>14.756482800000001</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7208.8</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14.730240829373651</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24660.6</v>
      </c>
      <c r="J54" s="574">
        <v>0</v>
      </c>
      <c r="K54" s="574">
        <v>0</v>
      </c>
      <c r="L54" s="464">
        <v>0.95</v>
      </c>
      <c r="M54" s="464">
        <v>0.95</v>
      </c>
      <c r="N54" s="464">
        <v>0.95</v>
      </c>
      <c r="O54" s="244">
        <f t="shared" si="42"/>
        <v>3.1536000000000002E-2</v>
      </c>
      <c r="P54" s="460">
        <v>0.15</v>
      </c>
      <c r="Q54" s="245">
        <v>30</v>
      </c>
      <c r="R54" s="227">
        <v>1.05</v>
      </c>
      <c r="T54" s="268">
        <f t="shared" si="5"/>
        <v>122.79421288421054</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1992</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9.9189018947368428</v>
      </c>
      <c r="U55" s="268"/>
      <c r="V55" s="604"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39503.9</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236.54335260759495</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47412.5</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283.8988481012658</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V58" s="604" t="s">
        <v>206</v>
      </c>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10245.5</v>
      </c>
      <c r="J59" s="250">
        <f t="shared" si="64"/>
        <v>0</v>
      </c>
      <c r="K59" s="250">
        <f t="shared" si="65"/>
        <v>0</v>
      </c>
      <c r="L59" s="464">
        <v>0.67</v>
      </c>
      <c r="M59" s="464">
        <v>0.67</v>
      </c>
      <c r="N59" s="464">
        <v>0.67</v>
      </c>
      <c r="O59" s="244">
        <f>31.536/1000</f>
        <v>3.1536000000000002E-2</v>
      </c>
      <c r="P59" s="460">
        <v>0.15</v>
      </c>
      <c r="Q59" s="245">
        <v>20</v>
      </c>
      <c r="R59" s="227">
        <v>1.0900000000000001</v>
      </c>
      <c r="T59" s="268">
        <f t="shared" si="5"/>
        <v>72.336288358208961</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1256.5</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8.2552050000000019</v>
      </c>
      <c r="U60" s="268"/>
      <c r="V60" s="604"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255.1</v>
      </c>
      <c r="J61" s="250">
        <f t="shared" si="64"/>
        <v>0</v>
      </c>
      <c r="K61" s="250">
        <f t="shared" si="65"/>
        <v>0</v>
      </c>
      <c r="L61" s="464">
        <v>1</v>
      </c>
      <c r="M61" s="464">
        <v>1</v>
      </c>
      <c r="N61" s="464">
        <v>1</v>
      </c>
      <c r="O61" s="244">
        <f t="shared" si="42"/>
        <v>3.1536000000000002E-2</v>
      </c>
      <c r="P61" s="460">
        <v>0.15</v>
      </c>
      <c r="Q61" s="245">
        <v>20</v>
      </c>
      <c r="R61" s="227">
        <v>1.0900000000000001</v>
      </c>
      <c r="T61" s="268">
        <f t="shared" si="5"/>
        <v>1.20672504</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2369.4</v>
      </c>
      <c r="J62" s="250">
        <f t="shared" si="64"/>
        <v>0</v>
      </c>
      <c r="K62" s="250">
        <f t="shared" si="65"/>
        <v>0</v>
      </c>
      <c r="L62" s="464">
        <v>1</v>
      </c>
      <c r="M62" s="464">
        <v>1</v>
      </c>
      <c r="N62" s="464">
        <v>1</v>
      </c>
      <c r="O62" s="244">
        <f t="shared" si="42"/>
        <v>3.1536000000000002E-2</v>
      </c>
      <c r="P62" s="460">
        <v>0.15</v>
      </c>
      <c r="Q62" s="245">
        <v>30</v>
      </c>
      <c r="R62" s="227">
        <v>1.0900000000000001</v>
      </c>
      <c r="T62" s="268">
        <f t="shared" si="5"/>
        <v>11.208209760000001</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5475.2000000000007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11.187855758099353</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1560.8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7.5338860408163262</v>
      </c>
      <c r="U65" s="268"/>
      <c r="V65" s="604"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27877.399999999998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183.154518</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32993.699999999997</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219.82168799999999</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V68" s="604" t="s">
        <v>206</v>
      </c>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7696.3</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56.010099447789052</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945.9</v>
      </c>
      <c r="J70" s="250">
        <f t="shared" si="94"/>
        <v>0</v>
      </c>
      <c r="K70" s="250">
        <f t="shared" si="95"/>
        <v>0</v>
      </c>
      <c r="L70" s="464">
        <v>0.7</v>
      </c>
      <c r="M70" s="464">
        <v>0.7</v>
      </c>
      <c r="N70" s="464">
        <v>0.7</v>
      </c>
      <c r="O70" s="244">
        <f t="shared" si="98"/>
        <v>3.1536000000000002E-2</v>
      </c>
      <c r="P70" s="460">
        <v>0.15</v>
      </c>
      <c r="Q70" s="245">
        <v>20</v>
      </c>
      <c r="R70" s="227">
        <v>1.0900000000000001</v>
      </c>
      <c r="T70" s="268">
        <f t="shared" si="5"/>
        <v>6.392121942857143</v>
      </c>
      <c r="U70" s="268"/>
      <c r="V70" s="604"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197.5</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0.93425400000000003</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1834.6</v>
      </c>
      <c r="J72" s="250">
        <f t="shared" si="94"/>
        <v>0</v>
      </c>
      <c r="K72" s="250">
        <f t="shared" si="95"/>
        <v>0</v>
      </c>
      <c r="L72" s="464">
        <v>1</v>
      </c>
      <c r="M72" s="464">
        <v>1</v>
      </c>
      <c r="N72" s="464">
        <v>1</v>
      </c>
      <c r="O72" s="244">
        <f t="shared" si="98"/>
        <v>3.1536000000000002E-2</v>
      </c>
      <c r="P72" s="460">
        <v>0.15</v>
      </c>
      <c r="Q72" s="245">
        <v>30</v>
      </c>
      <c r="R72" s="227">
        <v>1.0900000000000001</v>
      </c>
      <c r="T72" s="268">
        <f t="shared" si="105"/>
        <v>8.6783918399999997</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4239.5</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8.6628642764578849</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8607.1</v>
      </c>
      <c r="J74" s="574">
        <v>0</v>
      </c>
      <c r="K74" s="574">
        <v>0</v>
      </c>
      <c r="L74" s="464">
        <v>0.95</v>
      </c>
      <c r="M74" s="464">
        <v>0.95</v>
      </c>
      <c r="N74" s="464">
        <v>0.95</v>
      </c>
      <c r="O74" s="244">
        <f t="shared" si="98"/>
        <v>3.1536000000000002E-2</v>
      </c>
      <c r="P74" s="460">
        <v>0.15</v>
      </c>
      <c r="Q74" s="245">
        <v>30</v>
      </c>
      <c r="R74" s="227">
        <v>1.05</v>
      </c>
      <c r="T74" s="268">
        <f t="shared" si="105"/>
        <v>42.857921936842111</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1171.5</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5.8333301052631592</v>
      </c>
      <c r="U75" s="268"/>
      <c r="V75" s="604"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1733.8</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10.381731037974681</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2080.7999999999997</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12.459514329113922</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V78" s="604" t="s">
        <v>206</v>
      </c>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449.70000000000005</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3.1750162388059699</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55.2</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0.36266400000000004</v>
      </c>
      <c r="U80" s="268"/>
      <c r="V80" s="604"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11.2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5.2980479999999996E-2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104</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0.4919616</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240.29999999999998</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0.49102165010799131</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68.5</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0.33064530612244897</v>
      </c>
      <c r="U85" s="268"/>
      <c r="V85" s="604"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50037.299999999996</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328.74506099999996</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45724.7</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304.64242377464791</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V88" s="604" t="s">
        <v>206</v>
      </c>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12710.7</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92.502575399999003</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1345.6</v>
      </c>
      <c r="J90" s="250">
        <f t="shared" si="146"/>
        <v>0</v>
      </c>
      <c r="K90" s="250">
        <f t="shared" si="147"/>
        <v>0</v>
      </c>
      <c r="L90" s="464">
        <v>0.7</v>
      </c>
      <c r="M90" s="464">
        <v>0.7</v>
      </c>
      <c r="N90" s="464">
        <v>0.7</v>
      </c>
      <c r="O90" s="244">
        <f t="shared" si="149"/>
        <v>3.1536000000000002E-2</v>
      </c>
      <c r="P90" s="460">
        <v>0.15</v>
      </c>
      <c r="Q90" s="245">
        <v>20</v>
      </c>
      <c r="R90" s="227">
        <v>1.05</v>
      </c>
      <c r="T90" s="268">
        <f t="shared" si="105"/>
        <v>9.0931803428571421</v>
      </c>
      <c r="U90" s="268"/>
      <c r="V90" s="604"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373.20000000000005</v>
      </c>
      <c r="J91" s="250">
        <f t="shared" si="146"/>
        <v>0</v>
      </c>
      <c r="K91" s="250">
        <f t="shared" si="147"/>
        <v>0</v>
      </c>
      <c r="L91" s="464">
        <v>1</v>
      </c>
      <c r="M91" s="464">
        <v>1</v>
      </c>
      <c r="N91" s="464">
        <v>1</v>
      </c>
      <c r="O91" s="244">
        <f t="shared" si="149"/>
        <v>3.1536000000000002E-2</v>
      </c>
      <c r="P91" s="460">
        <v>0.15</v>
      </c>
      <c r="Q91" s="245">
        <v>20</v>
      </c>
      <c r="R91" s="227">
        <v>1.05</v>
      </c>
      <c r="T91" s="268">
        <f t="shared" si="105"/>
        <v>1.7653852800000003</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2501.1</v>
      </c>
      <c r="J92" s="250">
        <f t="shared" si="146"/>
        <v>0</v>
      </c>
      <c r="K92" s="250">
        <f t="shared" si="147"/>
        <v>0</v>
      </c>
      <c r="L92" s="464">
        <v>1</v>
      </c>
      <c r="M92" s="464">
        <v>1</v>
      </c>
      <c r="N92" s="464">
        <v>1</v>
      </c>
      <c r="O92" s="244">
        <f t="shared" si="149"/>
        <v>3.1536000000000002E-2</v>
      </c>
      <c r="P92" s="460">
        <v>0.15</v>
      </c>
      <c r="Q92" s="245">
        <v>30</v>
      </c>
      <c r="R92" s="227">
        <v>1.05</v>
      </c>
      <c r="T92" s="268">
        <f t="shared" si="105"/>
        <v>11.831203439999999</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8731.8000000000011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17.84229231965443</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21993.1</v>
      </c>
      <c r="J94" s="574">
        <v>0</v>
      </c>
      <c r="K94" s="574">
        <v>0</v>
      </c>
      <c r="L94" s="464">
        <v>0.95</v>
      </c>
      <c r="M94" s="464">
        <v>0.95</v>
      </c>
      <c r="N94" s="464">
        <v>0.95</v>
      </c>
      <c r="O94" s="244">
        <f t="shared" si="149"/>
        <v>3.1536000000000002E-2</v>
      </c>
      <c r="P94" s="460">
        <v>0.15</v>
      </c>
      <c r="Q94" s="245">
        <v>30</v>
      </c>
      <c r="R94" s="227">
        <v>1.05</v>
      </c>
      <c r="T94" s="268">
        <f t="shared" si="105"/>
        <v>109.51174762105263</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2727.2</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13.579733557894736</v>
      </c>
      <c r="U95" s="268"/>
      <c r="V95" s="604"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41699.4</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249.68967311392407</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38642.1</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231.38302511392405</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V98" s="604" t="s">
        <v>206</v>
      </c>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9951.1</v>
      </c>
      <c r="J99" s="250">
        <f t="shared" si="163"/>
        <v>0</v>
      </c>
      <c r="K99" s="250">
        <f t="shared" si="164"/>
        <v>0</v>
      </c>
      <c r="L99" s="464">
        <v>0.67</v>
      </c>
      <c r="M99" s="464">
        <v>0.67</v>
      </c>
      <c r="N99" s="464">
        <v>0.67</v>
      </c>
      <c r="O99" s="244">
        <f>31.536/1000</f>
        <v>3.1536000000000002E-2</v>
      </c>
      <c r="P99" s="460">
        <v>0.15</v>
      </c>
      <c r="Q99" s="245">
        <v>20</v>
      </c>
      <c r="R99" s="227">
        <v>1.05</v>
      </c>
      <c r="T99" s="268">
        <f t="shared" si="105"/>
        <v>70.257736477611928</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1051.1999999999998</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6.9063839999999992</v>
      </c>
      <c r="U100" s="268"/>
      <c r="V100" s="604"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283.5</v>
      </c>
      <c r="J101" s="250">
        <f t="shared" si="163"/>
        <v>0</v>
      </c>
      <c r="K101" s="250">
        <f t="shared" si="164"/>
        <v>0</v>
      </c>
      <c r="L101" s="464">
        <v>1</v>
      </c>
      <c r="M101" s="464">
        <v>1</v>
      </c>
      <c r="N101" s="464">
        <v>1</v>
      </c>
      <c r="O101" s="244">
        <f t="shared" si="149"/>
        <v>3.1536000000000002E-2</v>
      </c>
      <c r="P101" s="460">
        <v>0.15</v>
      </c>
      <c r="Q101" s="245">
        <v>20</v>
      </c>
      <c r="R101" s="227">
        <v>1.05</v>
      </c>
      <c r="T101" s="268">
        <f t="shared" si="105"/>
        <v>1.3410684000000002</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1899.6999999999998</v>
      </c>
      <c r="J102" s="250">
        <f t="shared" si="163"/>
        <v>0</v>
      </c>
      <c r="K102" s="250">
        <f t="shared" si="164"/>
        <v>0</v>
      </c>
      <c r="L102" s="464">
        <v>1</v>
      </c>
      <c r="M102" s="464">
        <v>1</v>
      </c>
      <c r="N102" s="464">
        <v>1</v>
      </c>
      <c r="O102" s="244">
        <f t="shared" si="149"/>
        <v>3.1536000000000002E-2</v>
      </c>
      <c r="P102" s="460">
        <v>0.15</v>
      </c>
      <c r="Q102" s="245">
        <v>30</v>
      </c>
      <c r="R102" s="227">
        <v>1.05</v>
      </c>
      <c r="T102" s="268">
        <f t="shared" si="105"/>
        <v>8.9863408800000002</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6632</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13.551625399568035</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2136.7999999999997</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10.314202775510203</v>
      </c>
      <c r="U105" s="268"/>
      <c r="V105" s="604"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29426.699999999997</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193.33341899999996</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26890.5</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179.15890309859157</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V108" s="604" t="s">
        <v>206</v>
      </c>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7475.1</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54.400308509565377</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791.4</v>
      </c>
      <c r="J110" s="250">
        <f t="shared" si="182"/>
        <v>0</v>
      </c>
      <c r="K110" s="250">
        <f t="shared" si="183"/>
        <v>0</v>
      </c>
      <c r="L110" s="464">
        <v>0.7</v>
      </c>
      <c r="M110" s="464">
        <v>0.7</v>
      </c>
      <c r="N110" s="464">
        <v>0.7</v>
      </c>
      <c r="O110" s="244">
        <f t="shared" si="185"/>
        <v>3.1536000000000002E-2</v>
      </c>
      <c r="P110" s="460">
        <v>0.15</v>
      </c>
      <c r="Q110" s="245">
        <v>20</v>
      </c>
      <c r="R110" s="227">
        <v>1.05</v>
      </c>
      <c r="T110" s="268">
        <f t="shared" si="105"/>
        <v>5.3480550857142859</v>
      </c>
      <c r="U110" s="268"/>
      <c r="V110" s="604"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219.5</v>
      </c>
      <c r="J111" s="250">
        <f t="shared" si="182"/>
        <v>0</v>
      </c>
      <c r="K111" s="250">
        <f t="shared" si="183"/>
        <v>0</v>
      </c>
      <c r="L111" s="464">
        <v>1</v>
      </c>
      <c r="M111" s="464">
        <v>1</v>
      </c>
      <c r="N111" s="464">
        <v>1</v>
      </c>
      <c r="O111" s="244">
        <f t="shared" si="185"/>
        <v>3.1536000000000002E-2</v>
      </c>
      <c r="P111" s="460">
        <v>0.15</v>
      </c>
      <c r="Q111" s="245">
        <v>20</v>
      </c>
      <c r="R111" s="227">
        <v>1.05</v>
      </c>
      <c r="T111" s="268">
        <f t="shared" si="105"/>
        <v>1.0383228</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1470.8999999999999</v>
      </c>
      <c r="J112" s="250">
        <f t="shared" si="182"/>
        <v>0</v>
      </c>
      <c r="K112" s="250">
        <f t="shared" si="183"/>
        <v>0</v>
      </c>
      <c r="L112" s="464">
        <v>1</v>
      </c>
      <c r="M112" s="464">
        <v>1</v>
      </c>
      <c r="N112" s="464">
        <v>1</v>
      </c>
      <c r="O112" s="244">
        <f t="shared" si="185"/>
        <v>3.1536000000000002E-2</v>
      </c>
      <c r="P112" s="460">
        <v>0.15</v>
      </c>
      <c r="Q112" s="245">
        <v>30</v>
      </c>
      <c r="R112" s="227">
        <v>1.05</v>
      </c>
      <c r="T112" s="268">
        <f t="shared" si="105"/>
        <v>6.9579453599999992</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5135.2000000000007</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10.493110185745142</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7676.1</v>
      </c>
      <c r="J114" s="574">
        <v>0</v>
      </c>
      <c r="K114" s="574">
        <v>0</v>
      </c>
      <c r="L114" s="464">
        <v>0.95</v>
      </c>
      <c r="M114" s="464">
        <v>0.95</v>
      </c>
      <c r="N114" s="464">
        <v>0.95</v>
      </c>
      <c r="O114" s="244">
        <f t="shared" si="185"/>
        <v>3.1536000000000002E-2</v>
      </c>
      <c r="P114" s="460">
        <v>0.15</v>
      </c>
      <c r="Q114" s="245">
        <v>30</v>
      </c>
      <c r="R114" s="227">
        <v>1.05</v>
      </c>
      <c r="T114" s="268">
        <f t="shared" si="105"/>
        <v>38.222129936842109</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1603.8999999999999</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7.9864090105263159</v>
      </c>
      <c r="U115" s="268"/>
      <c r="V115" s="604"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1830.1</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10.958360810126582</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1695.8999999999999</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10.154791594936707</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V118" s="604" t="s">
        <v>206</v>
      </c>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436.8</v>
      </c>
      <c r="J119" s="250">
        <f t="shared" si="199"/>
        <v>0</v>
      </c>
      <c r="K119" s="250">
        <f t="shared" si="200"/>
        <v>0</v>
      </c>
      <c r="L119" s="464">
        <v>0.67</v>
      </c>
      <c r="M119" s="464">
        <v>0.67</v>
      </c>
      <c r="N119" s="464">
        <v>0.67</v>
      </c>
      <c r="O119" s="244">
        <f>31.536/1000</f>
        <v>3.1536000000000002E-2</v>
      </c>
      <c r="P119" s="460">
        <v>0.15</v>
      </c>
      <c r="Q119" s="245">
        <v>20</v>
      </c>
      <c r="R119" s="227">
        <v>1.05</v>
      </c>
      <c r="T119" s="268">
        <f t="shared" si="105"/>
        <v>3.0839383880597011</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46.2</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0.30353400000000003</v>
      </c>
      <c r="U120" s="268"/>
      <c r="V120" s="604"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12.5</v>
      </c>
      <c r="J121" s="250">
        <f t="shared" si="199"/>
        <v>0</v>
      </c>
      <c r="K121" s="250">
        <f t="shared" si="200"/>
        <v>0</v>
      </c>
      <c r="L121" s="464">
        <v>1</v>
      </c>
      <c r="M121" s="464">
        <v>1</v>
      </c>
      <c r="N121" s="464">
        <v>1</v>
      </c>
      <c r="O121" s="244">
        <f t="shared" si="185"/>
        <v>3.1536000000000002E-2</v>
      </c>
      <c r="P121" s="460">
        <v>0.15</v>
      </c>
      <c r="Q121" s="245">
        <v>20</v>
      </c>
      <c r="R121" s="227">
        <v>1.05</v>
      </c>
      <c r="T121" s="268">
        <f t="shared" si="105"/>
        <v>5.9129999999999995E-2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83.399999999999991</v>
      </c>
      <c r="J122" s="250">
        <f t="shared" si="199"/>
        <v>0</v>
      </c>
      <c r="K122" s="250">
        <f t="shared" si="200"/>
        <v>0</v>
      </c>
      <c r="L122" s="464">
        <v>1</v>
      </c>
      <c r="M122" s="464">
        <v>1</v>
      </c>
      <c r="N122" s="464">
        <v>1</v>
      </c>
      <c r="O122" s="244">
        <f t="shared" si="185"/>
        <v>3.1536000000000002E-2</v>
      </c>
      <c r="P122" s="460">
        <v>0.15</v>
      </c>
      <c r="Q122" s="245">
        <v>30</v>
      </c>
      <c r="R122" s="227">
        <v>1.05</v>
      </c>
      <c r="T122" s="268">
        <f t="shared" si="105"/>
        <v>0.39451535999999993</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291.10000000000002</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0.59482481209503235</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93.8</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0.45276685714285719</v>
      </c>
      <c r="U125" s="268"/>
      <c r="V125" s="604"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49937</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328.08608999999996</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53432.9</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355.99857769014091</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V128" s="604" t="s">
        <v>206</v>
      </c>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13159.6</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95.769461259712429</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943.30000000000007</v>
      </c>
      <c r="J130" s="250">
        <f t="shared" si="216"/>
        <v>0</v>
      </c>
      <c r="K130" s="250">
        <f t="shared" si="217"/>
        <v>0</v>
      </c>
      <c r="L130" s="464">
        <v>0.7</v>
      </c>
      <c r="M130" s="464">
        <v>0.7</v>
      </c>
      <c r="N130" s="464">
        <v>0.7</v>
      </c>
      <c r="O130" s="244">
        <f t="shared" si="219"/>
        <v>3.1536000000000002E-2</v>
      </c>
      <c r="P130" s="460">
        <v>0.15</v>
      </c>
      <c r="Q130" s="245">
        <v>20</v>
      </c>
      <c r="R130" s="227">
        <v>1.05</v>
      </c>
      <c r="T130" s="268">
        <f t="shared" si="213"/>
        <v>6.3745518857142871</v>
      </c>
      <c r="U130" s="268"/>
      <c r="V130" s="604"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356.8</v>
      </c>
      <c r="J131" s="250">
        <f t="shared" si="216"/>
        <v>0</v>
      </c>
      <c r="K131" s="250">
        <f t="shared" si="217"/>
        <v>0</v>
      </c>
      <c r="L131" s="464">
        <v>1</v>
      </c>
      <c r="M131" s="464">
        <v>1</v>
      </c>
      <c r="N131" s="464">
        <v>1</v>
      </c>
      <c r="O131" s="244">
        <f t="shared" si="219"/>
        <v>3.1536000000000002E-2</v>
      </c>
      <c r="P131" s="460">
        <v>0.15</v>
      </c>
      <c r="Q131" s="245">
        <v>20</v>
      </c>
      <c r="R131" s="227">
        <v>1.05</v>
      </c>
      <c r="T131" s="268">
        <f t="shared" si="213"/>
        <v>1.68780672</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2537.1999999999998</v>
      </c>
      <c r="J132" s="250">
        <f t="shared" si="216"/>
        <v>0</v>
      </c>
      <c r="K132" s="250">
        <f t="shared" si="217"/>
        <v>0</v>
      </c>
      <c r="L132" s="464">
        <v>1</v>
      </c>
      <c r="M132" s="464">
        <v>1</v>
      </c>
      <c r="N132" s="464">
        <v>1</v>
      </c>
      <c r="O132" s="244">
        <f t="shared" si="219"/>
        <v>3.1536000000000002E-2</v>
      </c>
      <c r="P132" s="460">
        <v>0.15</v>
      </c>
      <c r="Q132" s="245">
        <v>30</v>
      </c>
      <c r="R132" s="227">
        <v>1.05</v>
      </c>
      <c r="T132" s="268">
        <f t="shared" si="213"/>
        <v>12.00197088</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9449.7000000000007</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19.309227161987046</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22002.5</v>
      </c>
      <c r="J134" s="574">
        <v>0</v>
      </c>
      <c r="K134" s="574">
        <v>0</v>
      </c>
      <c r="L134" s="464">
        <v>0.95</v>
      </c>
      <c r="M134" s="464">
        <v>0.95</v>
      </c>
      <c r="N134" s="464">
        <v>0.95</v>
      </c>
      <c r="O134" s="244">
        <f t="shared" si="219"/>
        <v>3.1536000000000002E-2</v>
      </c>
      <c r="P134" s="460">
        <v>0.15</v>
      </c>
      <c r="Q134" s="245">
        <v>30</v>
      </c>
      <c r="R134" s="227">
        <v>1.05</v>
      </c>
      <c r="T134" s="268">
        <f t="shared" si="213"/>
        <v>109.55855368421054</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2480.5</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12.351323368421053</v>
      </c>
      <c r="U135" s="268"/>
      <c r="V135" s="604"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41615.799999999996</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249.1890890126582</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45156.299999999996</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270.38906521518982</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V138" s="604" t="s">
        <v>206</v>
      </c>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10302.6</v>
      </c>
      <c r="J139" s="250">
        <f t="shared" si="233"/>
        <v>0</v>
      </c>
      <c r="K139" s="250">
        <f t="shared" si="234"/>
        <v>0</v>
      </c>
      <c r="L139" s="464">
        <v>0.67</v>
      </c>
      <c r="M139" s="464">
        <v>0.67</v>
      </c>
      <c r="N139" s="464">
        <v>0.67</v>
      </c>
      <c r="O139" s="244">
        <f>31.536/1000</f>
        <v>3.1536000000000002E-2</v>
      </c>
      <c r="P139" s="460">
        <v>0.15</v>
      </c>
      <c r="Q139" s="245">
        <v>20</v>
      </c>
      <c r="R139" s="227">
        <v>1.05</v>
      </c>
      <c r="T139" s="268">
        <f t="shared" si="213"/>
        <v>72.739431402985076</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736.9</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4.8414330000000003</v>
      </c>
      <c r="U140" s="268"/>
      <c r="V140" s="604"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271</v>
      </c>
      <c r="J141" s="250">
        <f t="shared" si="233"/>
        <v>0</v>
      </c>
      <c r="K141" s="250">
        <f t="shared" si="234"/>
        <v>0</v>
      </c>
      <c r="L141" s="464">
        <v>1</v>
      </c>
      <c r="M141" s="464">
        <v>1</v>
      </c>
      <c r="N141" s="464">
        <v>1</v>
      </c>
      <c r="O141" s="244">
        <f t="shared" si="219"/>
        <v>3.1536000000000002E-2</v>
      </c>
      <c r="P141" s="460">
        <v>0.15</v>
      </c>
      <c r="Q141" s="245">
        <v>20</v>
      </c>
      <c r="R141" s="227">
        <v>1.05</v>
      </c>
      <c r="T141" s="268">
        <f t="shared" si="213"/>
        <v>1.2819383999999998</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1927</v>
      </c>
      <c r="J142" s="250">
        <f t="shared" si="233"/>
        <v>0</v>
      </c>
      <c r="K142" s="250">
        <f t="shared" si="234"/>
        <v>0</v>
      </c>
      <c r="L142" s="464">
        <v>1</v>
      </c>
      <c r="M142" s="464">
        <v>1</v>
      </c>
      <c r="N142" s="464">
        <v>1</v>
      </c>
      <c r="O142" s="244">
        <f t="shared" si="219"/>
        <v>3.1536000000000002E-2</v>
      </c>
      <c r="P142" s="460">
        <v>0.15</v>
      </c>
      <c r="Q142" s="245">
        <v>30</v>
      </c>
      <c r="R142" s="227">
        <v>1.05</v>
      </c>
      <c r="T142" s="268">
        <f t="shared" si="213"/>
        <v>9.1154808000000003</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7177.2000000000007</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14.665670358531319</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1943.5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9.3811555102040831</v>
      </c>
      <c r="U145" s="268"/>
      <c r="V145" s="604"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29367.699999999997</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192.94578899999999</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132.30553802544</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31423.599999999999</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209.36084146478876</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141.56776184486</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V148" s="604" t="s">
        <v>206</v>
      </c>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7739.1</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56.321577983756384</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554.80000000000007</v>
      </c>
      <c r="J150" s="250">
        <f t="shared" si="252"/>
        <v>0</v>
      </c>
      <c r="K150" s="250">
        <f t="shared" si="253"/>
        <v>0</v>
      </c>
      <c r="L150" s="464">
        <v>0.7</v>
      </c>
      <c r="M150" s="464">
        <v>0.7</v>
      </c>
      <c r="N150" s="464">
        <v>0.7</v>
      </c>
      <c r="O150" s="244">
        <f t="shared" si="255"/>
        <v>3.1536000000000002E-2</v>
      </c>
      <c r="P150" s="460">
        <v>0.15</v>
      </c>
      <c r="Q150" s="245">
        <v>20</v>
      </c>
      <c r="R150" s="227">
        <v>1.05</v>
      </c>
      <c r="T150" s="268">
        <f t="shared" si="213"/>
        <v>3.7491798857142871</v>
      </c>
      <c r="U150" s="268"/>
      <c r="V150" s="604"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209.9</v>
      </c>
      <c r="J151" s="250">
        <f t="shared" si="252"/>
        <v>0</v>
      </c>
      <c r="K151" s="250">
        <f t="shared" si="253"/>
        <v>0</v>
      </c>
      <c r="L151" s="464">
        <v>1</v>
      </c>
      <c r="M151" s="464">
        <v>1</v>
      </c>
      <c r="N151" s="464">
        <v>1</v>
      </c>
      <c r="O151" s="244">
        <f t="shared" si="255"/>
        <v>3.1536000000000002E-2</v>
      </c>
      <c r="P151" s="460">
        <v>0.15</v>
      </c>
      <c r="Q151" s="245">
        <v>20</v>
      </c>
      <c r="R151" s="227">
        <v>1.05</v>
      </c>
      <c r="T151" s="268">
        <f t="shared" si="213"/>
        <v>0.99291096000000012</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1492.1</v>
      </c>
      <c r="J152" s="250">
        <f t="shared" si="252"/>
        <v>0</v>
      </c>
      <c r="K152" s="250">
        <f t="shared" si="253"/>
        <v>0</v>
      </c>
      <c r="L152" s="464">
        <v>1</v>
      </c>
      <c r="M152" s="464">
        <v>1</v>
      </c>
      <c r="N152" s="464">
        <v>1</v>
      </c>
      <c r="O152" s="244">
        <f t="shared" si="255"/>
        <v>3.1536000000000002E-2</v>
      </c>
      <c r="P152" s="460">
        <v>0.15</v>
      </c>
      <c r="Q152" s="245">
        <v>30</v>
      </c>
      <c r="R152" s="227">
        <v>1.05</v>
      </c>
      <c r="T152" s="268">
        <f t="shared" si="213"/>
        <v>7.0582298400000001</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5557.3</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11.35561638012959</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7679.4000000000005</v>
      </c>
      <c r="J154" s="574">
        <v>0</v>
      </c>
      <c r="K154" s="574">
        <v>0</v>
      </c>
      <c r="L154" s="464">
        <v>0.95</v>
      </c>
      <c r="M154" s="464">
        <v>0.95</v>
      </c>
      <c r="N154" s="464">
        <v>0.95</v>
      </c>
      <c r="O154" s="244">
        <f t="shared" si="255"/>
        <v>3.1536000000000002E-2</v>
      </c>
      <c r="P154" s="460">
        <v>0.15</v>
      </c>
      <c r="Q154" s="245">
        <v>30</v>
      </c>
      <c r="R154" s="227">
        <v>1.05</v>
      </c>
      <c r="T154" s="268">
        <f t="shared" si="213"/>
        <v>38.238561852631591</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1458.8</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7.2639026526315797</v>
      </c>
      <c r="U155" s="268"/>
      <c r="V155" s="604"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6.5719272586499997</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1826.3999999999999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10.936205772151895</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8.2281784219600009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1981.8</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11.866717367088608</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8.92820577068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V158" s="604" t="s">
        <v>206</v>
      </c>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452.20000000000005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3.1926669850746272</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32.4</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0.21286799999999997</v>
      </c>
      <c r="U160" s="268"/>
      <c r="V160" s="604"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11.9</v>
      </c>
      <c r="J161" s="250">
        <f t="shared" si="269"/>
        <v>0</v>
      </c>
      <c r="K161" s="250">
        <f t="shared" si="270"/>
        <v>0</v>
      </c>
      <c r="L161" s="464">
        <v>1</v>
      </c>
      <c r="M161" s="464">
        <v>1</v>
      </c>
      <c r="N161" s="464">
        <v>1</v>
      </c>
      <c r="O161" s="244">
        <f t="shared" si="255"/>
        <v>3.1536000000000002E-2</v>
      </c>
      <c r="P161" s="460">
        <v>0.15</v>
      </c>
      <c r="Q161" s="245">
        <v>20</v>
      </c>
      <c r="R161" s="227">
        <v>1.05</v>
      </c>
      <c r="T161" s="268">
        <f t="shared" si="213"/>
        <v>5.6291759999999996E-2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84.6</v>
      </c>
      <c r="J162" s="250">
        <f t="shared" si="269"/>
        <v>0</v>
      </c>
      <c r="K162" s="250">
        <f t="shared" si="270"/>
        <v>0</v>
      </c>
      <c r="L162" s="464">
        <v>1</v>
      </c>
      <c r="M162" s="464">
        <v>1</v>
      </c>
      <c r="N162" s="464">
        <v>1</v>
      </c>
      <c r="O162" s="244">
        <f t="shared" si="255"/>
        <v>3.1536000000000002E-2</v>
      </c>
      <c r="P162" s="460">
        <v>0.15</v>
      </c>
      <c r="Q162" s="245">
        <v>30</v>
      </c>
      <c r="R162" s="227">
        <v>1.05</v>
      </c>
      <c r="T162" s="268">
        <f t="shared" si="213"/>
        <v>0.40019183999999997</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315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0.6436613390928726</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85.3</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0.41173787755102043</v>
      </c>
      <c r="U165" s="268"/>
      <c r="V165" s="604"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0.38426099291999999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V168" s="604" t="s">
        <v>206</v>
      </c>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4"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V178" s="604" t="s">
        <v>206</v>
      </c>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4"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132.30553802544</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141.56776184486</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V188" s="604" t="s">
        <v>206</v>
      </c>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4"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6.5719272586499997</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8.2281784219600009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8.92820577068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V198" s="604" t="s">
        <v>206</v>
      </c>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4"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0.38426099291999999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abSelected="1" topLeftCell="A92" zoomScale="60" zoomScaleNormal="60" workbookViewId="0">
      <selection activeCell="F37" sqref="F37"/>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959</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3393</v>
      </c>
      <c r="X5" s="478">
        <f>Sources!E15</f>
        <v>3410</v>
      </c>
      <c r="Y5" s="478">
        <f>Sources!F15</f>
        <v>3558</v>
      </c>
      <c r="Z5" s="478">
        <f>Sources!G15</f>
        <v>3577</v>
      </c>
      <c r="AA5" s="478">
        <f>Sources!H15</f>
        <v>3598</v>
      </c>
      <c r="AB5" s="478">
        <f>Sources!I15</f>
        <v>3620</v>
      </c>
      <c r="AC5" s="478">
        <f>Sources!J15</f>
        <v>3646</v>
      </c>
      <c r="AD5" s="478">
        <f>Sources!K15</f>
        <v>3670</v>
      </c>
      <c r="AE5" s="478">
        <f>Sources!L15</f>
        <v>3698</v>
      </c>
      <c r="AF5" s="478">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7"/>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952</v>
      </c>
      <c r="AK10" s="106" t="s">
        <v>953</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955</v>
      </c>
      <c r="AC11" s="106" t="s">
        <v>937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958</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937</v>
      </c>
      <c r="W15" s="9">
        <v>0.68</v>
      </c>
      <c r="X15" s="9">
        <v>0.32</v>
      </c>
      <c r="Y15" t="s">
        <v>951</v>
      </c>
      <c r="AL15" t="s">
        <v>954</v>
      </c>
      <c r="AM15">
        <f>12867-12867*0.95*0.32</f>
        <v>8955.4320000000007</v>
      </c>
      <c r="AN15">
        <f>(3153+3229)-(3153+3229)*0.05*0.32</f>
        <v>6279.8879999999999</v>
      </c>
      <c r="AO15" t="s">
        <v>956</v>
      </c>
    </row>
    <row r="16" spans="2:41">
      <c r="V16" t="s">
        <v>237</v>
      </c>
      <c r="W16" s="9">
        <f>'Regional split'!C5*AE12/AD12</f>
        <v>0</v>
      </c>
      <c r="X16" s="9">
        <f>'Regional split'!C5*AF12/AD12</f>
        <v>0</v>
      </c>
      <c r="AL16" t="s">
        <v>954</v>
      </c>
      <c r="AM16">
        <f>AM15/(AM15+AN15)</f>
        <v>0.58780727940076094</v>
      </c>
      <c r="AN16">
        <f>AN15/(AN15+AM15)</f>
        <v>0.41219272059923912</v>
      </c>
      <c r="AO16" t="s">
        <v>957</v>
      </c>
    </row>
    <row r="17" spans="1:36">
      <c r="V17" t="s">
        <v>238</v>
      </c>
      <c r="W17" s="9">
        <f>'Regional split'!C6*AE13/AD13</f>
        <v>0</v>
      </c>
      <c r="X17" s="9">
        <f>'Regional split'!C6*AF13/AD13</f>
        <v>0</v>
      </c>
    </row>
    <row r="19" spans="1:36">
      <c r="F19" s="611"/>
      <c r="G19" s="611"/>
      <c r="H19" s="611"/>
      <c r="I19" s="611"/>
      <c r="J19" s="611"/>
      <c r="K19" s="611"/>
      <c r="L19" s="611"/>
      <c r="M19" s="611"/>
      <c r="N19" s="611"/>
      <c r="O19" s="611"/>
      <c r="V19" s="106" t="s">
        <v>748</v>
      </c>
      <c r="Y19" s="127"/>
      <c r="Z19" s="127"/>
    </row>
    <row r="20" spans="1:36" ht="14">
      <c r="F20" s="611"/>
      <c r="G20" s="611"/>
      <c r="H20" s="611"/>
      <c r="I20" s="611"/>
      <c r="J20" s="611"/>
      <c r="K20" s="611"/>
      <c r="L20" s="611"/>
      <c r="M20" s="611"/>
      <c r="N20" s="611"/>
      <c r="O20" s="611"/>
      <c r="X20" t="s">
        <v>937</v>
      </c>
      <c r="Y20" t="s">
        <v>237</v>
      </c>
      <c r="Z20" t="s">
        <v>238</v>
      </c>
      <c r="AH20" s="351"/>
      <c r="AI20" s="351"/>
    </row>
    <row r="21" spans="1:36" ht="16" thickBot="1">
      <c r="B21" s="357" t="s">
        <v>279</v>
      </c>
      <c r="V21" s="106" t="s">
        <v>736</v>
      </c>
      <c r="W21" s="106" t="s">
        <v>744</v>
      </c>
      <c r="X21" s="478">
        <f t="shared" ref="X21:Z21" si="1">INDEX($W$15:$X$17,MATCH(X$20,$V$15:$V$17,0),MATCH($V21,$W$14:$X$14,0))*INDEX($W$11:$X$12,MATCH($W21,$V$11:$V$12,0),MATCH($V21,$W$10:$X$10,0))</f>
        <v>0.39970894999251749</v>
      </c>
      <c r="Y21" s="478">
        <f t="shared" si="1"/>
        <v>0</v>
      </c>
      <c r="Z21" s="478">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964</v>
      </c>
      <c r="V22" s="127" t="s">
        <v>737</v>
      </c>
      <c r="W22" s="106" t="s">
        <v>744</v>
      </c>
      <c r="X22" s="478">
        <f t="shared" ref="X22:Z24" si="2">INDEX($W$15:$X$17,MATCH(X$20,$V$15:$V$17,0),MATCH($V22,$W$14:$X$14,0))*INDEX($W$11:$X$12,MATCH($W22,$V$11:$V$12,0),MATCH($V22,$W$10:$X$10,0))</f>
        <v>0.30432000000000003</v>
      </c>
      <c r="Y22" s="478">
        <f t="shared" si="2"/>
        <v>0</v>
      </c>
      <c r="Z22" s="478">
        <f t="shared" si="2"/>
        <v>0</v>
      </c>
      <c r="AC22" s="106"/>
      <c r="AD22" s="106"/>
      <c r="AH22" s="351"/>
      <c r="AI22" s="351"/>
    </row>
    <row r="23" spans="1:36" ht="14">
      <c r="A23" s="106" t="s">
        <v>767</v>
      </c>
      <c r="B23" s="591" t="s">
        <v>887</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P23">
        <f>O23/(O110+O88+O66+O44+O23)</f>
        <v>1</v>
      </c>
      <c r="S23" s="600"/>
      <c r="V23" s="106" t="s">
        <v>736</v>
      </c>
      <c r="W23" s="106" t="s">
        <v>745</v>
      </c>
      <c r="X23" s="478">
        <f t="shared" si="2"/>
        <v>0.28029105000748261</v>
      </c>
      <c r="Y23" s="478">
        <f t="shared" si="2"/>
        <v>0</v>
      </c>
      <c r="Z23" s="478">
        <f t="shared" si="2"/>
        <v>0</v>
      </c>
      <c r="AH23" s="351"/>
      <c r="AI23" s="351"/>
    </row>
    <row r="24" spans="1:36" ht="14">
      <c r="A24" s="106" t="s">
        <v>767</v>
      </c>
      <c r="B24" s="591"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P24">
        <f>O24/(O111+O89+O67+O45+O24)</f>
        <v>0.78308632957832913</v>
      </c>
      <c r="S24" s="601"/>
      <c r="V24" s="127" t="s">
        <v>737</v>
      </c>
      <c r="W24" s="106" t="s">
        <v>745</v>
      </c>
      <c r="X24" s="478">
        <f t="shared" si="2"/>
        <v>1.5679999999999999E-2</v>
      </c>
      <c r="Y24" s="478">
        <f t="shared" si="2"/>
        <v>0</v>
      </c>
      <c r="Z24" s="478">
        <f t="shared" si="2"/>
        <v>0</v>
      </c>
      <c r="AH24" s="351"/>
      <c r="AI24" s="351"/>
    </row>
    <row r="25" spans="1:36" ht="14">
      <c r="A25" s="106" t="s">
        <v>767</v>
      </c>
      <c r="B25" s="591" t="s">
        <v>886</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P25">
        <f>O25/(O112+O90+O68+O46+O25)</f>
        <v>0.84995425109729084</v>
      </c>
      <c r="S25" s="601"/>
      <c r="X25" s="478"/>
    </row>
    <row r="26" spans="1:36" ht="14">
      <c r="A26" s="106" t="s">
        <v>767</v>
      </c>
      <c r="B26" s="591" t="s">
        <v>885</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P26">
        <f>O26/(O113+O91+O69+O47+O26)</f>
        <v>0.84217325936770249</v>
      </c>
      <c r="Q26" s="106"/>
      <c r="S26" s="601"/>
      <c r="V26" s="187"/>
      <c r="W26" s="187"/>
      <c r="X26" s="187"/>
      <c r="Y26" s="187"/>
      <c r="Z26" s="187"/>
      <c r="AA26" s="187"/>
      <c r="AB26" s="187"/>
      <c r="AC26" s="187"/>
      <c r="AD26" s="187"/>
      <c r="AE26" s="187"/>
      <c r="AF26" s="187"/>
      <c r="AG26" s="187"/>
      <c r="AH26" s="187"/>
      <c r="AI26" s="187"/>
      <c r="AJ26" s="187"/>
    </row>
    <row r="27" spans="1:36" ht="14">
      <c r="A27" s="106" t="s">
        <v>767</v>
      </c>
      <c r="B27" s="591" t="s">
        <v>212</v>
      </c>
      <c r="C27" s="481">
        <f>IFERROR('Energy balance'!C9*'Data manipulation'!$Q27,0)</f>
        <v>0</v>
      </c>
      <c r="D27" s="481">
        <f>IFERROR('Energy balance'!D9*'Data manipulation'!$Q27,0)</f>
        <v>0</v>
      </c>
      <c r="E27" s="481">
        <f>IFERROR('Energy balance'!E9*'Data manipulation'!$Q27,0)</f>
        <v>0</v>
      </c>
      <c r="F27" s="612">
        <f>IFERROR('Energy balance'!F9*'Data manipulation'!$Q27,0)</f>
        <v>0</v>
      </c>
      <c r="G27" s="612">
        <f>IFERROR('Energy balance'!G9*'Data manipulation'!$Q27,0)</f>
        <v>0</v>
      </c>
      <c r="H27" s="612">
        <f>IFERROR('Energy balance'!H9*'Data manipulation'!$Q27,0)</f>
        <v>0</v>
      </c>
      <c r="I27" s="612">
        <f>IFERROR('Energy balance'!I9*'Data manipulation'!$Q27,0)</f>
        <v>0</v>
      </c>
      <c r="J27" s="612">
        <f>IFERROR('Energy balance'!J9*'Data manipulation'!$Q27,0)</f>
        <v>0</v>
      </c>
      <c r="K27" s="612">
        <f>IFERROR('Energy balance'!K9*'Data manipulation'!$Q27,0)</f>
        <v>0</v>
      </c>
      <c r="L27" s="612">
        <f>IFERROR('Energy balance'!L9*'Data manipulation'!$Q27,0)</f>
        <v>0</v>
      </c>
      <c r="M27" s="612">
        <f>IFERROR('Energy balance'!M9*'Data manipulation'!$Q27,0)</f>
        <v>0</v>
      </c>
      <c r="N27" s="612">
        <f>IFERROR('Energy balance'!N9*'Data manipulation'!$Q27,0)</f>
        <v>0</v>
      </c>
      <c r="O27" s="612">
        <f>IFERROR('Energy balance'!O9*'Data manipulation'!$Q27,0)</f>
        <v>0</v>
      </c>
      <c r="P27">
        <f>O27/(O114+O92+O70+O48+O27)</f>
        <v>0</v>
      </c>
      <c r="Q27" s="106"/>
      <c r="S27" s="601"/>
      <c r="V27" s="106" t="s">
        <v>761</v>
      </c>
    </row>
    <row r="28" spans="1:36" ht="14">
      <c r="A28" s="106" t="s">
        <v>767</v>
      </c>
      <c r="B28" s="591" t="s">
        <v>884</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P28">
        <f>O28/(O115+O93+O71+O49+O28)</f>
        <v>0.84995488916768336</v>
      </c>
      <c r="Q28" s="106"/>
      <c r="S28" s="601"/>
    </row>
    <row r="29" spans="1:36" ht="14">
      <c r="A29" s="106" t="s">
        <v>767</v>
      </c>
      <c r="B29" s="591" t="s">
        <v>882</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P29">
        <f>O29/(O117+O94+O72+O50+O29)</f>
        <v>0.13100000000000001</v>
      </c>
      <c r="Q29" s="106"/>
      <c r="S29" s="602"/>
      <c r="U29" s="196"/>
      <c r="V29" s="169">
        <v>1.94169475643413</v>
      </c>
      <c r="W29" s="467" t="s">
        <v>759</v>
      </c>
    </row>
    <row r="30" spans="1:36" ht="14">
      <c r="A30" s="106" t="s">
        <v>767</v>
      </c>
      <c r="B30" s="591" t="s">
        <v>881</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P30">
        <f>O30/(O118+O95+O73+O51+O30)</f>
        <v>0.91</v>
      </c>
      <c r="Q30" s="106"/>
      <c r="S30" s="602"/>
      <c r="V30" s="169">
        <v>2.3104234107113255</v>
      </c>
      <c r="W30" s="191" t="s">
        <v>760</v>
      </c>
    </row>
    <row r="31" spans="1:36" ht="14">
      <c r="A31" s="106" t="s">
        <v>767</v>
      </c>
      <c r="B31" s="591" t="s">
        <v>880</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P31">
        <f>O31/(O119+O95+O74+O52+O31)</f>
        <v>0.8685376668773046</v>
      </c>
      <c r="Q31" s="106"/>
      <c r="S31" s="601"/>
    </row>
    <row r="32" spans="1:36" ht="14">
      <c r="A32" s="106" t="s">
        <v>767</v>
      </c>
      <c r="B32" s="591" t="s">
        <v>879</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P32">
        <f>O32/(O120+O97+O75+O53+O32)</f>
        <v>0.62423696901248338</v>
      </c>
      <c r="Q32" s="106"/>
      <c r="S32" s="601"/>
      <c r="V32" s="9">
        <f>SUM(Dem!F41:H44)</f>
        <v>3558.0000000000005</v>
      </c>
      <c r="W32" s="106" t="s">
        <v>763</v>
      </c>
    </row>
    <row r="33" spans="1:25" ht="14">
      <c r="A33" s="106" t="s">
        <v>767</v>
      </c>
      <c r="B33" s="591"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P33">
        <f>O33/(O121+O98+O76+O54+O33)</f>
        <v>5.9561132910678154E-2</v>
      </c>
      <c r="Q33" s="106"/>
      <c r="S33" s="601"/>
      <c r="V33" s="9">
        <f>SUM(Dem!F41:H41)</f>
        <v>1422.1644440733771</v>
      </c>
      <c r="W33" s="106" t="s">
        <v>777</v>
      </c>
    </row>
    <row r="34" spans="1:25" ht="14">
      <c r="A34" s="106" t="s">
        <v>767</v>
      </c>
      <c r="B34" s="591"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P34">
        <f>O34/(O122+O99+O77+O55+O34)</f>
        <v>0.90988530854600924</v>
      </c>
      <c r="Q34" s="106"/>
      <c r="S34" s="601"/>
      <c r="V34" s="9">
        <f>SUM(Dem!F42:H42)</f>
        <v>1082.7705600000002</v>
      </c>
      <c r="W34" s="106" t="s">
        <v>779</v>
      </c>
    </row>
    <row r="35" spans="1:25" ht="14">
      <c r="A35" s="106" t="s">
        <v>767</v>
      </c>
      <c r="B35" s="606" t="s">
        <v>920</v>
      </c>
      <c r="C35" s="480">
        <f>IFERROR('Energy balance'!C18*'Data manipulation'!$Q109,0)</f>
        <v>0</v>
      </c>
      <c r="D35" s="480">
        <f>IFERROR('Energy balance'!D18*'Data manipulation'!$Q109,0)</f>
        <v>0</v>
      </c>
      <c r="E35" s="542">
        <f>IFERROR('Energy balance'!E18*'Data manipulation'!$Q109,0)</f>
        <v>0</v>
      </c>
      <c r="F35" s="612">
        <f>SUM(F26:F28)</f>
        <v>1026634.358</v>
      </c>
      <c r="G35" s="612">
        <f t="shared" ref="G35:O35" si="3">SUM(G26:G28)</f>
        <v>821764.946</v>
      </c>
      <c r="H35" s="612">
        <f t="shared" si="3"/>
        <v>881440.23600000003</v>
      </c>
      <c r="I35" s="612">
        <f t="shared" si="3"/>
        <v>1016915.5689999999</v>
      </c>
      <c r="J35" s="612">
        <f t="shared" si="3"/>
        <v>864773.40500000003</v>
      </c>
      <c r="K35" s="612">
        <f t="shared" si="3"/>
        <v>816481.52799999993</v>
      </c>
      <c r="L35" s="612">
        <f t="shared" si="3"/>
        <v>800330.02300000004</v>
      </c>
      <c r="M35" s="612">
        <f t="shared" si="3"/>
        <v>786261.69900000002</v>
      </c>
      <c r="N35" s="612">
        <f t="shared" si="3"/>
        <v>690798.29600000009</v>
      </c>
      <c r="O35" s="612">
        <f t="shared" si="3"/>
        <v>807251.87800000003</v>
      </c>
      <c r="P35">
        <f>O35/(O123+O100+O78+O56+O35)</f>
        <v>0.8456838680624601</v>
      </c>
      <c r="S35" s="601"/>
      <c r="V35" s="9">
        <f>SUM(Dem!F43:H43)</f>
        <v>997.27555592662316</v>
      </c>
      <c r="W35" s="106" t="s">
        <v>778</v>
      </c>
    </row>
    <row r="36" spans="1:25" ht="14">
      <c r="A36" s="106" t="s">
        <v>767</v>
      </c>
      <c r="B36" s="606" t="s">
        <v>921</v>
      </c>
      <c r="C36" s="480">
        <f>IFERROR('Energy balance'!C19*'Data manipulation'!$Q110,0)</f>
        <v>0</v>
      </c>
      <c r="D36" s="480">
        <f>IFERROR('Energy balance'!D19*'Data manipulation'!$Q110,0)</f>
        <v>0</v>
      </c>
      <c r="E36" s="480">
        <f>IFERROR('Energy balance'!E19*'Data manipulation'!$Q110,0)</f>
        <v>0</v>
      </c>
      <c r="F36" s="613">
        <f t="shared" ref="F36:O36" si="4">F24+F32</f>
        <v>846059.38599999994</v>
      </c>
      <c r="G36" s="613">
        <f t="shared" si="4"/>
        <v>655605.15</v>
      </c>
      <c r="H36" s="613">
        <f t="shared" si="4"/>
        <v>732671.27099999995</v>
      </c>
      <c r="I36" s="613">
        <f t="shared" si="4"/>
        <v>777567.10800000001</v>
      </c>
      <c r="J36" s="613">
        <f t="shared" si="4"/>
        <v>618708.88799999992</v>
      </c>
      <c r="K36" s="613">
        <f t="shared" si="4"/>
        <v>680288.674</v>
      </c>
      <c r="L36" s="613">
        <f t="shared" si="4"/>
        <v>762797.76199999999</v>
      </c>
      <c r="M36" s="613">
        <f t="shared" si="4"/>
        <v>732133.78600000008</v>
      </c>
      <c r="N36" s="613">
        <f t="shared" si="4"/>
        <v>745452.446</v>
      </c>
      <c r="O36" s="613">
        <f t="shared" si="4"/>
        <v>743958.26599999995</v>
      </c>
      <c r="P36">
        <f>O36/(O124+O101+O79+O57+O36)</f>
        <v>0.78777426594522793</v>
      </c>
      <c r="S36" s="601"/>
      <c r="V36" s="9">
        <f>SUM(Dem!F44:H44)</f>
        <v>55.789439999999999</v>
      </c>
      <c r="W36" s="106" t="s">
        <v>780</v>
      </c>
    </row>
    <row r="37" spans="1:25" ht="14">
      <c r="A37" s="106" t="s">
        <v>767</v>
      </c>
      <c r="B37" s="591" t="s">
        <v>883</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P37">
        <f>O37/(O125+O102+O80+O58+O37)</f>
        <v>0.79524036709475443</v>
      </c>
      <c r="Q37" s="106"/>
      <c r="S37" s="601"/>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c r="V38" s="9">
        <f>($V$33/V29+$V$34/$V$29+$V$35/V30+$V$36/$V$30)</f>
        <v>1745.8653667007479</v>
      </c>
      <c r="W38" s="106" t="s">
        <v>764</v>
      </c>
    </row>
    <row r="39" spans="1:25" ht="14.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c r="V39" s="477">
        <f>ROUND((V33/V29)/V38,3)</f>
        <v>0.42</v>
      </c>
      <c r="W39" s="106" t="s">
        <v>787</v>
      </c>
      <c r="X39" s="106" t="s">
        <v>116</v>
      </c>
      <c r="Y39" s="106" t="s">
        <v>736</v>
      </c>
    </row>
    <row r="40" spans="1:25" ht="14">
      <c r="A40" s="106" t="s">
        <v>767</v>
      </c>
      <c r="B40" s="363" t="s">
        <v>106</v>
      </c>
      <c r="C40" s="364">
        <f t="shared" ref="C40:O40" si="5">SUM(C23:C39)</f>
        <v>0</v>
      </c>
      <c r="D40" s="364">
        <f t="shared" si="5"/>
        <v>0</v>
      </c>
      <c r="E40" s="364">
        <f t="shared" si="5"/>
        <v>0</v>
      </c>
      <c r="F40" s="611">
        <f t="shared" si="5"/>
        <v>4617767.358</v>
      </c>
      <c r="G40" s="611">
        <f t="shared" si="5"/>
        <v>3699605.943</v>
      </c>
      <c r="H40" s="611">
        <f t="shared" si="5"/>
        <v>4052111.7630000003</v>
      </c>
      <c r="I40" s="611">
        <f t="shared" si="5"/>
        <v>4484352.2429999998</v>
      </c>
      <c r="J40" s="611">
        <f t="shared" si="5"/>
        <v>3677913.5970000001</v>
      </c>
      <c r="K40" s="611">
        <f t="shared" si="5"/>
        <v>3725689.3739999994</v>
      </c>
      <c r="L40" s="611">
        <f t="shared" si="5"/>
        <v>3855377.0120000001</v>
      </c>
      <c r="M40" s="611">
        <f t="shared" si="5"/>
        <v>3771600.4210000006</v>
      </c>
      <c r="N40" s="611">
        <f t="shared" si="5"/>
        <v>3609500.41</v>
      </c>
      <c r="O40" s="611">
        <f t="shared" si="5"/>
        <v>3852202.6539999996</v>
      </c>
      <c r="V40" s="477">
        <f>ROUND((V34/V29)/V38,3)</f>
        <v>0.31900000000000001</v>
      </c>
      <c r="W40" s="106" t="s">
        <v>787</v>
      </c>
      <c r="X40" s="106" t="s">
        <v>116</v>
      </c>
      <c r="Y40" s="106" t="s">
        <v>737</v>
      </c>
    </row>
    <row r="41" spans="1:25">
      <c r="V41" s="477">
        <f>ROUND((V35/V30)/V38,3)</f>
        <v>0.247</v>
      </c>
      <c r="W41" s="106" t="s">
        <v>787</v>
      </c>
      <c r="X41" s="106" t="s">
        <v>786</v>
      </c>
      <c r="Y41" s="106" t="s">
        <v>736</v>
      </c>
    </row>
    <row r="42" spans="1:25" ht="16" thickBot="1">
      <c r="B42" s="357" t="s">
        <v>280</v>
      </c>
      <c r="V42" s="477">
        <f>ROUND((V36/V30)/V38,3)</f>
        <v>1.4E-2</v>
      </c>
      <c r="W42" s="106" t="s">
        <v>787</v>
      </c>
      <c r="X42" s="106" t="s">
        <v>786</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887</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c r="P44">
        <f>O44/(O110+O88+O66+O44+O23)</f>
        <v>0</v>
      </c>
      <c r="Q44" s="695"/>
      <c r="R44" s="696"/>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P45">
        <f t="shared" ref="P45:P58" si="6">O45/(O111+O89+O67+O45+O24)</f>
        <v>0.21224997445879179</v>
      </c>
      <c r="Q45" s="695"/>
      <c r="R45" s="696"/>
      <c r="V45" s="520" t="s">
        <v>781</v>
      </c>
      <c r="W45" s="106" t="s">
        <v>782</v>
      </c>
    </row>
    <row r="46" spans="1:25" ht="14">
      <c r="A46" s="106" t="s">
        <v>293</v>
      </c>
      <c r="B46" s="591" t="s">
        <v>886</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P46">
        <f t="shared" si="6"/>
        <v>0.15004574890270914</v>
      </c>
      <c r="Q46" s="695"/>
      <c r="R46" s="696"/>
      <c r="V46" s="477">
        <f>V39</f>
        <v>0.42</v>
      </c>
      <c r="W46" s="106" t="s">
        <v>788</v>
      </c>
      <c r="X46" s="106" t="s">
        <v>116</v>
      </c>
      <c r="Y46" s="106" t="s">
        <v>736</v>
      </c>
    </row>
    <row r="47" spans="1:25" ht="14">
      <c r="A47" s="106" t="s">
        <v>293</v>
      </c>
      <c r="B47" s="591" t="s">
        <v>885</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P47">
        <f t="shared" si="6"/>
        <v>0.14867144669971888</v>
      </c>
      <c r="Q47" s="695"/>
      <c r="R47" s="696"/>
      <c r="V47" s="477">
        <f>V40</f>
        <v>0.31900000000000001</v>
      </c>
      <c r="W47" s="106" t="s">
        <v>788</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P48">
        <f t="shared" si="6"/>
        <v>0</v>
      </c>
      <c r="Q48" s="695"/>
      <c r="R48" s="696"/>
      <c r="V48" s="477">
        <f>V41</f>
        <v>0.247</v>
      </c>
      <c r="W48" s="106" t="s">
        <v>788</v>
      </c>
      <c r="X48" s="106" t="s">
        <v>786</v>
      </c>
      <c r="Y48" s="106" t="s">
        <v>736</v>
      </c>
    </row>
    <row r="49" spans="1:25" ht="14">
      <c r="A49" s="106" t="s">
        <v>293</v>
      </c>
      <c r="B49" s="591" t="s">
        <v>884</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P49">
        <f t="shared" si="6"/>
        <v>0.15004511083231664</v>
      </c>
      <c r="Q49" s="695"/>
      <c r="R49" s="696"/>
      <c r="V49" s="477">
        <f>V42</f>
        <v>1.4E-2</v>
      </c>
      <c r="W49" s="106" t="s">
        <v>788</v>
      </c>
      <c r="X49" s="106" t="s">
        <v>786</v>
      </c>
      <c r="Y49" s="106" t="s">
        <v>737</v>
      </c>
    </row>
    <row r="50" spans="1:25" ht="14">
      <c r="A50" s="106" t="s">
        <v>293</v>
      </c>
      <c r="B50" s="591" t="s">
        <v>882</v>
      </c>
      <c r="C50" s="481">
        <f>IFERROR('Energy balance'!C12*$Q125,0)</f>
        <v>0</v>
      </c>
      <c r="D50" s="481">
        <f>IFERROR('Energy balance'!D12*$Q125,0)</f>
        <v>0</v>
      </c>
      <c r="E50" s="481">
        <f>IFERROR('Energy balance'!E12*$Q125,0)</f>
        <v>0</v>
      </c>
      <c r="F50" s="479">
        <f>IFERROR(Raw_Data!F19,0)</f>
        <v>16514.616000000002</v>
      </c>
      <c r="G50" s="479">
        <f>IFERROR(Raw_Data!M19,0)</f>
        <v>18113.09</v>
      </c>
      <c r="H50" s="479">
        <f>IFERROR(Raw_Data!T19,0)</f>
        <v>19080.599999999999</v>
      </c>
      <c r="I50" s="479">
        <f>IFERROR(Raw_Data!AA19,0)</f>
        <v>19287.240000000002</v>
      </c>
      <c r="J50" s="479">
        <f>IFERROR(Raw_Data!AH19,0)</f>
        <v>21492.108</v>
      </c>
      <c r="K50" s="479">
        <f>IFERROR(Raw_Data!AO19,0)</f>
        <v>23012.858</v>
      </c>
      <c r="L50" s="479">
        <f>IFERROR(Raw_Data!AV19,0)</f>
        <v>22992.870999999999</v>
      </c>
      <c r="M50" s="479">
        <f>IFERROR(Raw_Data!BC19,0)</f>
        <v>23488.201000000001</v>
      </c>
      <c r="N50" s="479">
        <f>IFERROR(Raw_Data!BJ19,0)</f>
        <v>26551.425999999999</v>
      </c>
      <c r="O50" s="479">
        <f>IFERROR(Raw_Data!BQ19,0)</f>
        <v>25384.359</v>
      </c>
      <c r="P50">
        <f t="shared" si="6"/>
        <v>0.86899999999999999</v>
      </c>
      <c r="Q50" s="697"/>
      <c r="R50" s="696"/>
    </row>
    <row r="51" spans="1:25" ht="14">
      <c r="A51" s="106" t="s">
        <v>293</v>
      </c>
      <c r="B51" s="591" t="s">
        <v>881</v>
      </c>
      <c r="C51" s="480">
        <f>IFERROR('Energy balance'!C13*$Q126,0)</f>
        <v>0</v>
      </c>
      <c r="D51" s="480">
        <f>IFERROR('Energy balance'!D13*$Q126,0)</f>
        <v>0</v>
      </c>
      <c r="E51" s="480">
        <f>IFERROR('Energy balance'!E13*$Q126,0)</f>
        <v>0</v>
      </c>
      <c r="F51" s="479">
        <f>IFERROR(Raw_Data!F20,0)</f>
        <v>698.35500000000002</v>
      </c>
      <c r="G51" s="479">
        <f>IFERROR(Raw_Data!M20,0)</f>
        <v>1283.9680000000001</v>
      </c>
      <c r="H51" s="479">
        <f>IFERROR(Raw_Data!T20,0)</f>
        <v>1359.5920000000001</v>
      </c>
      <c r="I51" s="479">
        <f>IFERROR(Raw_Data!AA20,0)</f>
        <v>1530.204</v>
      </c>
      <c r="J51" s="479">
        <f>IFERROR(Raw_Data!AH20,0)</f>
        <v>3117.6</v>
      </c>
      <c r="K51" s="479">
        <f>IFERROR(Raw_Data!AO20,0)</f>
        <v>3182.22</v>
      </c>
      <c r="L51" s="479">
        <f>IFERROR(Raw_Data!AV20,0)</f>
        <v>3440.88</v>
      </c>
      <c r="M51" s="479">
        <f>IFERROR(Raw_Data!BC20,0)</f>
        <v>3725.46</v>
      </c>
      <c r="N51" s="479">
        <f>IFERROR(Raw_Data!BJ20,0)</f>
        <v>4001.4</v>
      </c>
      <c r="O51" s="479">
        <f>IFERROR(Raw_Data!BQ20,0)</f>
        <v>4330.3500000000004</v>
      </c>
      <c r="P51">
        <f t="shared" si="6"/>
        <v>9.0000000000000011E-2</v>
      </c>
      <c r="Q51" s="695"/>
      <c r="R51" s="696"/>
    </row>
    <row r="52" spans="1:25" ht="14">
      <c r="A52" s="106" t="s">
        <v>293</v>
      </c>
      <c r="B52" s="591" t="s">
        <v>880</v>
      </c>
      <c r="C52" s="480">
        <f>IFERROR('Energy balance'!C14*$Q127,0)</f>
        <v>0</v>
      </c>
      <c r="D52" s="480">
        <f>IFERROR('Energy balance'!D14*$Q127,0)</f>
        <v>0</v>
      </c>
      <c r="E52" s="480">
        <f>IFERROR('Energy balance'!E14*$Q127,0)</f>
        <v>0</v>
      </c>
      <c r="F52" s="479">
        <f>IFERROR(Raw_Data!F21,0)</f>
        <v>12120.697</v>
      </c>
      <c r="G52" s="479">
        <f>IFERROR(Raw_Data!M21,0)</f>
        <v>25752.084999999999</v>
      </c>
      <c r="H52" s="479">
        <f>IFERROR(Raw_Data!T21,0)</f>
        <v>24049.156999999999</v>
      </c>
      <c r="I52" s="479">
        <f>IFERROR(Raw_Data!AA21,0)</f>
        <v>27865.223999999998</v>
      </c>
      <c r="J52" s="479">
        <f>IFERROR(Raw_Data!AH21,0)</f>
        <v>36005.648999999998</v>
      </c>
      <c r="K52" s="479">
        <f>IFERROR(Raw_Data!AO21,0)</f>
        <v>34814.065999999999</v>
      </c>
      <c r="L52" s="479">
        <f>IFERROR(Raw_Data!AV21,0)</f>
        <v>28437.082999999999</v>
      </c>
      <c r="M52" s="479">
        <f>IFERROR(Raw_Data!BC21,0)</f>
        <v>30228.668000000001</v>
      </c>
      <c r="N52" s="479">
        <f>IFERROR(Raw_Data!BJ21,0)</f>
        <v>35600.675000000003</v>
      </c>
      <c r="O52" s="479">
        <f>IFERROR(Raw_Data!BQ21,0)</f>
        <v>32870.053</v>
      </c>
      <c r="P52">
        <f t="shared" si="6"/>
        <v>0.13146233312269531</v>
      </c>
      <c r="Q52" s="695"/>
      <c r="R52" s="696"/>
    </row>
    <row r="53" spans="1:25" ht="14">
      <c r="A53" s="106" t="s">
        <v>293</v>
      </c>
      <c r="B53" s="591" t="s">
        <v>879</v>
      </c>
      <c r="C53" s="480">
        <f>IFERROR('Energy balance'!C15*$Q128,0)</f>
        <v>0</v>
      </c>
      <c r="D53" s="480">
        <f>IFERROR('Energy balance'!D15*$Q128,0)</f>
        <v>0</v>
      </c>
      <c r="E53" s="480">
        <f>IFERROR('Energy balance'!E15*$Q128,0)</f>
        <v>0</v>
      </c>
      <c r="F53" s="479">
        <f>IFERROR(Raw_Data!F22,0)</f>
        <v>252.31700000000001</v>
      </c>
      <c r="G53" s="479">
        <f>IFERROR(Raw_Data!M22,0)</f>
        <v>720.96699999999998</v>
      </c>
      <c r="H53" s="479">
        <f>IFERROR(Raw_Data!T22,0)</f>
        <v>677.46400000000006</v>
      </c>
      <c r="I53" s="479">
        <f>IFERROR(Raw_Data!AA22,0)</f>
        <v>865.57899999999995</v>
      </c>
      <c r="J53" s="479">
        <f>IFERROR(Raw_Data!AH22,0)</f>
        <v>1629.454</v>
      </c>
      <c r="K53" s="479">
        <f>IFERROR(Raw_Data!AO22,0)</f>
        <v>1689.31</v>
      </c>
      <c r="L53" s="479">
        <f>IFERROR(Raw_Data!AV22,0)</f>
        <v>1606.8630000000001</v>
      </c>
      <c r="M53" s="479">
        <f>IFERROR(Raw_Data!BC22,0)</f>
        <v>1728.8620000000001</v>
      </c>
      <c r="N53" s="479">
        <f>IFERROR(Raw_Data!BJ22,0)</f>
        <v>1719.847</v>
      </c>
      <c r="O53" s="479">
        <f>IFERROR(Raw_Data!BQ22,0)</f>
        <v>1546.5229999999999</v>
      </c>
      <c r="P53">
        <f t="shared" si="6"/>
        <v>0.13146234274056443</v>
      </c>
      <c r="Q53" s="695"/>
      <c r="R53" s="696"/>
    </row>
    <row r="54" spans="1:25" ht="14">
      <c r="A54" s="106" t="s">
        <v>293</v>
      </c>
      <c r="B54" s="591" t="s">
        <v>79</v>
      </c>
      <c r="C54" s="480">
        <f>IFERROR('Energy balance'!C16*$Q129,0)</f>
        <v>0</v>
      </c>
      <c r="D54" s="480">
        <f>IFERROR('Energy balance'!D16*$Q129,0)</f>
        <v>0</v>
      </c>
      <c r="E54" s="480">
        <f>IFERROR('Energy balance'!E16*$Q129,0)</f>
        <v>0</v>
      </c>
      <c r="F54" s="479">
        <f>IFERROR(Raw_Data!F23,0)</f>
        <v>70906.679999999993</v>
      </c>
      <c r="G54" s="479">
        <f>IFERROR(Raw_Data!M23,0)</f>
        <v>69829.919999999998</v>
      </c>
      <c r="H54" s="479">
        <f>IFERROR(Raw_Data!T23,0)</f>
        <v>68554.8</v>
      </c>
      <c r="I54" s="479">
        <f>IFERROR(Raw_Data!AA23,0)</f>
        <v>66213.414000000004</v>
      </c>
      <c r="J54" s="479">
        <f>IFERROR(Raw_Data!AH23,0)</f>
        <v>54616.171999999999</v>
      </c>
      <c r="K54" s="479">
        <f>IFERROR(Raw_Data!AO23,0)</f>
        <v>54601.156999999999</v>
      </c>
      <c r="L54" s="479">
        <f>IFERROR(Raw_Data!AV23,0)</f>
        <v>55565.161</v>
      </c>
      <c r="M54" s="479">
        <f>IFERROR(Raw_Data!BC23,0)</f>
        <v>55843.930999999997</v>
      </c>
      <c r="N54" s="479">
        <f>IFERROR(Raw_Data!BJ23,0)</f>
        <v>56031.815000000002</v>
      </c>
      <c r="O54" s="479">
        <f>IFERROR(Raw_Data!BQ23,0)</f>
        <v>52484.983</v>
      </c>
      <c r="P54">
        <f t="shared" si="6"/>
        <v>0.1137220113079259</v>
      </c>
      <c r="Q54" s="695"/>
      <c r="R54" s="696"/>
    </row>
    <row r="55" spans="1:25" ht="14">
      <c r="A55" s="106" t="s">
        <v>293</v>
      </c>
      <c r="B55" s="591" t="s">
        <v>219</v>
      </c>
      <c r="C55" s="480">
        <f>IFERROR('Energy balance'!C17*$Q130,0)</f>
        <v>0</v>
      </c>
      <c r="D55" s="480">
        <f>IFERROR('Energy balance'!D17*$Q130,0)</f>
        <v>0</v>
      </c>
      <c r="E55" s="480">
        <f>IFERROR('Energy balance'!E17*$Q130,0)</f>
        <v>0</v>
      </c>
      <c r="F55" s="479">
        <f>IFERROR(Raw_Data!F24,0)</f>
        <v>11868.263000000001</v>
      </c>
      <c r="G55" s="479">
        <f>IFERROR(Raw_Data!M24,0)</f>
        <v>18899.904999999999</v>
      </c>
      <c r="H55" s="479">
        <f>IFERROR(Raw_Data!T24,0)</f>
        <v>15124.664000000001</v>
      </c>
      <c r="I55" s="479">
        <f>IFERROR(Raw_Data!AA24,0)</f>
        <v>13860.876</v>
      </c>
      <c r="J55" s="479">
        <f>IFERROR(Raw_Data!AH24,0)</f>
        <v>13899.057000000001</v>
      </c>
      <c r="K55" s="479">
        <f>IFERROR(Raw_Data!AO24,0)</f>
        <v>14282.905000000001</v>
      </c>
      <c r="L55" s="479">
        <f>IFERROR(Raw_Data!AV24,0)</f>
        <v>15061.433999999999</v>
      </c>
      <c r="M55" s="479">
        <f>IFERROR(Raw_Data!BC24,0)</f>
        <v>16140.501</v>
      </c>
      <c r="N55" s="479">
        <f>IFERROR(Raw_Data!BJ24,0)</f>
        <v>13854.982</v>
      </c>
      <c r="O55" s="479">
        <f>IFERROR(Raw_Data!BQ24,0)</f>
        <v>13795.567999999999</v>
      </c>
      <c r="P55">
        <f t="shared" si="6"/>
        <v>9.0114691453990814E-2</v>
      </c>
      <c r="Q55" s="695"/>
      <c r="R55" s="696"/>
    </row>
    <row r="56" spans="1:25" ht="14">
      <c r="A56" s="106" t="s">
        <v>293</v>
      </c>
      <c r="B56" s="606" t="s">
        <v>920</v>
      </c>
      <c r="C56" s="480">
        <f>IFERROR('Energy balance'!C18*$Q131,0)</f>
        <v>0</v>
      </c>
      <c r="D56" s="480">
        <f>IFERROR('Energy balance'!D18*$Q131,0)</f>
        <v>0</v>
      </c>
      <c r="E56" s="481">
        <f>IFERROR('Energy balance'!E18*$Q131,0)</f>
        <v>0</v>
      </c>
      <c r="F56" s="479">
        <f>SUM(F47:F49)</f>
        <v>127761.36300000001</v>
      </c>
      <c r="G56" s="479">
        <f>SUM(G47:G49)</f>
        <v>169507.60700000002</v>
      </c>
      <c r="H56" s="479">
        <f>SUM(H47:H49)</f>
        <v>167893.37800000003</v>
      </c>
      <c r="I56" s="479">
        <f>SUM(I47:I49)</f>
        <v>125416.13</v>
      </c>
      <c r="J56" s="479">
        <f>SUM(J47:J49)</f>
        <v>137678.75599999999</v>
      </c>
      <c r="K56" s="479">
        <f>SUM(K47:K49)</f>
        <v>122672.85800000001</v>
      </c>
      <c r="L56" s="479">
        <f>SUM(L47:L49)</f>
        <v>117517.749</v>
      </c>
      <c r="M56" s="479">
        <f>SUM(M47:M49)</f>
        <v>129060.71800000001</v>
      </c>
      <c r="N56" s="479">
        <f>SUM(N47:N49)</f>
        <v>121882.557</v>
      </c>
      <c r="O56" s="479">
        <f>SUM(O47:O49)</f>
        <v>142506.644</v>
      </c>
      <c r="P56">
        <f t="shared" si="6"/>
        <v>0.14929116079742336</v>
      </c>
      <c r="Q56" s="698"/>
      <c r="R56" s="696"/>
    </row>
    <row r="57" spans="1:25" ht="14">
      <c r="A57" s="106" t="s">
        <v>293</v>
      </c>
      <c r="B57" s="606" t="s">
        <v>921</v>
      </c>
      <c r="C57" s="480">
        <f>IFERROR('Energy balance'!C19*$Q132,0)</f>
        <v>0</v>
      </c>
      <c r="D57" s="480">
        <f>IFERROR('Energy balance'!D19*$Q132,0)</f>
        <v>0</v>
      </c>
      <c r="E57" s="480">
        <f>IFERROR('Energy balance'!E19*$Q132,0)</f>
        <v>0</v>
      </c>
      <c r="F57" s="479">
        <f>F45+F53</f>
        <v>158220.90100000001</v>
      </c>
      <c r="G57" s="479">
        <f>G45+G53</f>
        <v>175265.84299999999</v>
      </c>
      <c r="H57" s="479">
        <f>H45+H53</f>
        <v>177178.69200000001</v>
      </c>
      <c r="I57" s="479">
        <f>I45+I53</f>
        <v>170304.01</v>
      </c>
      <c r="J57" s="479">
        <f>J45+J53</f>
        <v>154739.179</v>
      </c>
      <c r="K57" s="479">
        <f>K45+K53</f>
        <v>154276.772</v>
      </c>
      <c r="L57" s="479">
        <f>L45+L53</f>
        <v>171393.58200000002</v>
      </c>
      <c r="M57" s="479">
        <f>M45+M53</f>
        <v>181679.45600000001</v>
      </c>
      <c r="N57" s="479">
        <f>N45+N53</f>
        <v>194699.095</v>
      </c>
      <c r="O57" s="479">
        <f>O45+O53</f>
        <v>200421.74</v>
      </c>
      <c r="P57">
        <f t="shared" si="6"/>
        <v>0.21222573405477202</v>
      </c>
      <c r="Q57" s="698"/>
      <c r="R57" s="696"/>
    </row>
    <row r="58" spans="1:25" ht="14">
      <c r="A58" s="106" t="s">
        <v>293</v>
      </c>
      <c r="B58" s="591" t="s">
        <v>883</v>
      </c>
      <c r="C58" s="481">
        <f>IFERROR('Energy balance'!C11*$Q124,0)</f>
        <v>0</v>
      </c>
      <c r="D58" s="481">
        <f>IFERROR('Energy balance'!D11*$Q124,0)</f>
        <v>0</v>
      </c>
      <c r="E58" s="481">
        <f>IFERROR('Energy balance'!E11*$Q124,0)</f>
        <v>0</v>
      </c>
      <c r="F58" s="479">
        <f>IFERROR(Raw_Data!F18,0)</f>
        <v>29606.705000000002</v>
      </c>
      <c r="G58" s="479">
        <f>IFERROR(Raw_Data!M18,0)</f>
        <v>45907.294000000002</v>
      </c>
      <c r="H58" s="479">
        <f>IFERROR(Raw_Data!T18,0)</f>
        <v>45212.625</v>
      </c>
      <c r="I58" s="479">
        <f>IFERROR(Raw_Data!AA18,0)</f>
        <v>49595.567000000003</v>
      </c>
      <c r="J58" s="479">
        <f>IFERROR(Raw_Data!AH18,0)</f>
        <v>62326.506999999998</v>
      </c>
      <c r="K58" s="479">
        <f>IFERROR(Raw_Data!AO18,0)</f>
        <v>62785.034</v>
      </c>
      <c r="L58" s="479">
        <f>IFERROR(Raw_Data!AV18,0)</f>
        <v>56589.836000000003</v>
      </c>
      <c r="M58" s="479">
        <f>IFERROR(Raw_Data!BC18,0)</f>
        <v>59275.95</v>
      </c>
      <c r="N58" s="479">
        <f>IFERROR(Raw_Data!BJ18,0)</f>
        <v>67959.928</v>
      </c>
      <c r="O58" s="479">
        <f>IFERROR(Raw_Data!BQ18,0)</f>
        <v>64226.684999999998</v>
      </c>
      <c r="P58">
        <f t="shared" si="6"/>
        <v>0.18503117450778489</v>
      </c>
      <c r="Q58" s="695"/>
      <c r="R58" s="696"/>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SUM(C44:C61)</f>
        <v>0</v>
      </c>
      <c r="D62" s="364">
        <f>SUM(D44:D61)</f>
        <v>0</v>
      </c>
      <c r="E62" s="364">
        <f>SUM(E44:E61)</f>
        <v>0</v>
      </c>
      <c r="F62" s="364">
        <f>SUM(F44:F61)</f>
        <v>717521.03899999999</v>
      </c>
      <c r="G62" s="364">
        <f>SUM(G44:G61)</f>
        <v>874984.75600000017</v>
      </c>
      <c r="H62" s="364">
        <f>SUM(H44:H61)</f>
        <v>868386.45200000005</v>
      </c>
      <c r="I62" s="364">
        <f>SUM(I44:I61)</f>
        <v>773749.8600000001</v>
      </c>
      <c r="J62" s="364">
        <f>SUM(J44:J61)</f>
        <v>780397.60000000009</v>
      </c>
      <c r="K62" s="364">
        <f>SUM(K44:K61)</f>
        <v>749832.70000000007</v>
      </c>
      <c r="L62" s="364">
        <f>SUM(L44:L61)</f>
        <v>763952.46500000008</v>
      </c>
      <c r="M62" s="364">
        <f>SUM(M44:M61)</f>
        <v>813523.44799999997</v>
      </c>
      <c r="N62" s="364">
        <f>SUM(N44:N61)</f>
        <v>842596.45399999991</v>
      </c>
      <c r="O62" s="364">
        <f>SUM(O44:O61)</f>
        <v>883893.0149999999</v>
      </c>
    </row>
    <row r="64" spans="1:25" ht="16" thickBot="1">
      <c r="B64" s="357" t="s">
        <v>281</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286</v>
      </c>
      <c r="B66" s="591" t="s">
        <v>887</v>
      </c>
      <c r="C66" s="479">
        <f>IFERROR('Energy balance'!C5*#REF!,0)</f>
        <v>0</v>
      </c>
      <c r="D66" s="479">
        <f>IFERROR('Energy balance'!D5*#REF!,0)</f>
        <v>0</v>
      </c>
      <c r="E66" s="479">
        <f>IFERROR('Energy balance'!E5*#REF!,0)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c r="P66">
        <f>O66/(O110+O88+O66+O44+O23)</f>
        <v>0</v>
      </c>
      <c r="Q66" s="695"/>
    </row>
    <row r="67" spans="1:17"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c r="P67">
        <f t="shared" ref="P67:P80" si="7">O67/(O111+O89+O67+O45+O24)</f>
        <v>4.6636959628790454E-3</v>
      </c>
      <c r="Q67" s="695"/>
    </row>
    <row r="68" spans="1:17" ht="14">
      <c r="A68" s="106" t="s">
        <v>286</v>
      </c>
      <c r="B68" s="591" t="s">
        <v>886</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c r="P68">
        <f t="shared" si="7"/>
        <v>0</v>
      </c>
      <c r="Q68" s="695"/>
    </row>
    <row r="69" spans="1:17" ht="14">
      <c r="A69" s="106" t="s">
        <v>286</v>
      </c>
      <c r="B69" s="591" t="s">
        <v>885</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c r="P69">
        <f t="shared" si="7"/>
        <v>0</v>
      </c>
      <c r="Q69" s="695"/>
    </row>
    <row r="70" spans="1:17"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c r="P70">
        <f t="shared" si="7"/>
        <v>0</v>
      </c>
      <c r="Q70" s="695"/>
    </row>
    <row r="71" spans="1:17" ht="14">
      <c r="A71" s="106" t="s">
        <v>286</v>
      </c>
      <c r="B71" s="591" t="s">
        <v>884</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c r="P71">
        <f t="shared" si="7"/>
        <v>0</v>
      </c>
      <c r="Q71" s="695"/>
    </row>
    <row r="72" spans="1:17" ht="14">
      <c r="A72" s="106" t="s">
        <v>286</v>
      </c>
      <c r="B72" s="591" t="s">
        <v>882</v>
      </c>
      <c r="C72" s="481">
        <f>IFERROR('Energy balance'!C12*#REF!,0)</f>
        <v>0</v>
      </c>
      <c r="D72" s="481">
        <f>IFERROR('Energy balance'!D12*#REF!,0)</f>
        <v>0</v>
      </c>
      <c r="E72" s="481">
        <f>IFERROR('Energy balance'!E12*#REF!,0)</f>
        <v>0</v>
      </c>
      <c r="F72" s="479">
        <f>IFERROR(Raw_Data!G19,0)</f>
        <v>0</v>
      </c>
      <c r="G72" s="479">
        <f>IFERROR(Raw_Data!N19,0)</f>
        <v>0</v>
      </c>
      <c r="H72" s="479">
        <f>IFERROR(Raw_Data!U19,0)</f>
        <v>0</v>
      </c>
      <c r="I72" s="479">
        <f>IFERROR(Raw_Data!AB19,0)</f>
        <v>0</v>
      </c>
      <c r="J72" s="479">
        <f>IFERROR(Raw_Data!AI19,0)</f>
        <v>0</v>
      </c>
      <c r="K72" s="479">
        <f>IFERROR(Raw_Data!AP19,0)</f>
        <v>0</v>
      </c>
      <c r="L72" s="479">
        <f>IFERROR(Raw_Data!AW19,0)</f>
        <v>0</v>
      </c>
      <c r="M72" s="479">
        <f>IFERROR(Raw_Data!BD19,0)</f>
        <v>0</v>
      </c>
      <c r="N72" s="479">
        <f>IFERROR(Raw_Data!BK19,0)</f>
        <v>0</v>
      </c>
      <c r="O72" s="479">
        <f>IFERROR(Raw_Data!BR19,0)</f>
        <v>0</v>
      </c>
      <c r="P72">
        <f t="shared" si="7"/>
        <v>0</v>
      </c>
      <c r="Q72" s="697"/>
    </row>
    <row r="73" spans="1:17" ht="14">
      <c r="A73" s="106" t="s">
        <v>286</v>
      </c>
      <c r="B73" s="591" t="s">
        <v>881</v>
      </c>
      <c r="C73" s="480">
        <f>IFERROR('Energy balance'!C13*#REF!,0)</f>
        <v>0</v>
      </c>
      <c r="D73" s="480">
        <f>IFERROR('Energy balance'!D13*#REF!,0)</f>
        <v>0</v>
      </c>
      <c r="E73" s="480">
        <f>IFERROR('Energy balance'!E13*#REF!,0)</f>
        <v>0</v>
      </c>
      <c r="F73" s="479">
        <f>IFERROR(Raw_Data!G20,0)</f>
        <v>0</v>
      </c>
      <c r="G73" s="479">
        <f>IFERROR(Raw_Data!N20,0)</f>
        <v>0</v>
      </c>
      <c r="H73" s="479">
        <f>IFERROR(Raw_Data!U20,0)</f>
        <v>0</v>
      </c>
      <c r="I73" s="479">
        <f>IFERROR(Raw_Data!AB20,0)</f>
        <v>0</v>
      </c>
      <c r="J73" s="479">
        <f>IFERROR(Raw_Data!AI20,0)</f>
        <v>0</v>
      </c>
      <c r="K73" s="479">
        <f>IFERROR(Raw_Data!AP20,0)</f>
        <v>0</v>
      </c>
      <c r="L73" s="479">
        <f>IFERROR(Raw_Data!AW20,0)</f>
        <v>0</v>
      </c>
      <c r="M73" s="479">
        <f>IFERROR(Raw_Data!BD20,0)</f>
        <v>0</v>
      </c>
      <c r="N73" s="479">
        <f>IFERROR(Raw_Data!BK20,0)</f>
        <v>0</v>
      </c>
      <c r="O73" s="479">
        <f>IFERROR(Raw_Data!BR20,0)</f>
        <v>0</v>
      </c>
      <c r="P73">
        <f t="shared" si="7"/>
        <v>0</v>
      </c>
      <c r="Q73" s="695"/>
    </row>
    <row r="74" spans="1:17" ht="14">
      <c r="A74" s="106" t="s">
        <v>286</v>
      </c>
      <c r="B74" s="591" t="s">
        <v>880</v>
      </c>
      <c r="C74" s="480">
        <f>IFERROR('Energy balance'!C14*#REF!,0)</f>
        <v>0</v>
      </c>
      <c r="D74" s="480">
        <f>IFERROR('Energy balance'!D14*#REF!,0)</f>
        <v>0</v>
      </c>
      <c r="E74" s="480">
        <f>IFERROR('Energy balance'!E14*#REF!,0)</f>
        <v>0</v>
      </c>
      <c r="F74" s="479">
        <f>IFERROR(Raw_Data!G21,0)</f>
        <v>0</v>
      </c>
      <c r="G74" s="479">
        <f>IFERROR(Raw_Data!N21,0)</f>
        <v>0</v>
      </c>
      <c r="H74" s="479">
        <f>IFERROR(Raw_Data!U21,0)</f>
        <v>0</v>
      </c>
      <c r="I74" s="479">
        <f>IFERROR(Raw_Data!AB21,0)</f>
        <v>0</v>
      </c>
      <c r="J74" s="479">
        <f>IFERROR(Raw_Data!AI21,0)</f>
        <v>0</v>
      </c>
      <c r="K74" s="479">
        <f>IFERROR(Raw_Data!AP21,0)</f>
        <v>0</v>
      </c>
      <c r="L74" s="479">
        <f>IFERROR(Raw_Data!AW21,0)</f>
        <v>0</v>
      </c>
      <c r="M74" s="479">
        <f>IFERROR(Raw_Data!BD21,0)</f>
        <v>0</v>
      </c>
      <c r="N74" s="479">
        <f>IFERROR(Raw_Data!BK21,0)</f>
        <v>0</v>
      </c>
      <c r="O74" s="479">
        <f>IFERROR(Raw_Data!BR21,0)</f>
        <v>0</v>
      </c>
      <c r="P74">
        <f t="shared" si="7"/>
        <v>0</v>
      </c>
      <c r="Q74" s="695"/>
    </row>
    <row r="75" spans="1:17" ht="14">
      <c r="A75" s="106" t="s">
        <v>286</v>
      </c>
      <c r="B75" s="591" t="s">
        <v>879</v>
      </c>
      <c r="C75" s="480">
        <f>IFERROR('Energy balance'!C15*#REF!,0)</f>
        <v>0</v>
      </c>
      <c r="D75" s="480">
        <f>IFERROR('Energy balance'!D15*#REF!,0)</f>
        <v>0</v>
      </c>
      <c r="E75" s="480">
        <f>IFERROR('Energy balance'!E15*#REF!,0)</f>
        <v>0</v>
      </c>
      <c r="F75" s="479">
        <f>IFERROR(Raw_Data!G22,0)</f>
        <v>0</v>
      </c>
      <c r="G75" s="479">
        <f>IFERROR(Raw_Data!N22,0)</f>
        <v>0</v>
      </c>
      <c r="H75" s="479">
        <f>IFERROR(Raw_Data!U22,0)</f>
        <v>0</v>
      </c>
      <c r="I75" s="479">
        <f>IFERROR(Raw_Data!AB22,0)</f>
        <v>0</v>
      </c>
      <c r="J75" s="479">
        <f>IFERROR(Raw_Data!AI22,0)</f>
        <v>0</v>
      </c>
      <c r="K75" s="479">
        <f>IFERROR(Raw_Data!AP22,0)</f>
        <v>0</v>
      </c>
      <c r="L75" s="479">
        <f>IFERROR(Raw_Data!AW22,0)</f>
        <v>0</v>
      </c>
      <c r="M75" s="479">
        <f>IFERROR(Raw_Data!BD22,0)</f>
        <v>0</v>
      </c>
      <c r="N75" s="479">
        <f>IFERROR(Raw_Data!BK22,0)</f>
        <v>0</v>
      </c>
      <c r="O75" s="479">
        <f>IFERROR(Raw_Data!BR22,0)</f>
        <v>0</v>
      </c>
      <c r="P75">
        <f t="shared" si="7"/>
        <v>0</v>
      </c>
      <c r="Q75" s="695"/>
    </row>
    <row r="76" spans="1:17" ht="14">
      <c r="A76" s="106" t="s">
        <v>286</v>
      </c>
      <c r="B76" s="591" t="s">
        <v>79</v>
      </c>
      <c r="C76" s="480">
        <f>IFERROR('Energy balance'!C16*#REF!,0)</f>
        <v>0</v>
      </c>
      <c r="D76" s="480">
        <f>IFERROR('Energy balance'!D16*#REF!,0)</f>
        <v>0</v>
      </c>
      <c r="E76" s="480">
        <f>IFERROR('Energy balance'!E16*#REF!,0)</f>
        <v>0</v>
      </c>
      <c r="F76" s="479">
        <f>IFERROR(Raw_Data!G23,0)</f>
        <v>140283</v>
      </c>
      <c r="G76" s="479">
        <f>IFERROR(Raw_Data!N23,0)</f>
        <v>139168.07999999999</v>
      </c>
      <c r="H76" s="479">
        <f>IFERROR(Raw_Data!U23,0)</f>
        <v>140562</v>
      </c>
      <c r="I76" s="479">
        <f>IFERROR(Raw_Data!AB23,0)</f>
        <v>138429.565</v>
      </c>
      <c r="J76" s="479">
        <f>IFERROR(Raw_Data!AI23,0)</f>
        <v>134723.693</v>
      </c>
      <c r="K76" s="479">
        <f>IFERROR(Raw_Data!AP23,0)</f>
        <v>133825.734</v>
      </c>
      <c r="L76" s="479">
        <f>IFERROR(Raw_Data!AW23,0)</f>
        <v>138362.26699999999</v>
      </c>
      <c r="M76" s="479">
        <f>IFERROR(Raw_Data!BD23,0)</f>
        <v>138456.02499999999</v>
      </c>
      <c r="N76" s="479">
        <f>IFERROR(Raw_Data!BK23,0)</f>
        <v>139386.56400000001</v>
      </c>
      <c r="O76" s="479">
        <f>IFERROR(Raw_Data!BR23,0)</f>
        <v>141085.364</v>
      </c>
      <c r="P76">
        <f t="shared" si="7"/>
        <v>0.305697181233551</v>
      </c>
      <c r="Q76" s="695"/>
    </row>
    <row r="77" spans="1:17" ht="14">
      <c r="A77" s="106" t="s">
        <v>286</v>
      </c>
      <c r="B77" s="591" t="s">
        <v>219</v>
      </c>
      <c r="C77" s="480">
        <f>IFERROR('Energy balance'!C17*#REF!,0)</f>
        <v>0</v>
      </c>
      <c r="D77" s="480">
        <f>IFERROR('Energy balance'!D17*#REF!,0)</f>
        <v>0</v>
      </c>
      <c r="E77" s="480">
        <f>IFERROR('Energy balance'!E17*#REF!,0)</f>
        <v>0</v>
      </c>
      <c r="F77" s="479">
        <f>IFERROR(Raw_Data!G24,0)</f>
        <v>0</v>
      </c>
      <c r="G77" s="479">
        <f>IFERROR(Raw_Data!N24,0)</f>
        <v>0</v>
      </c>
      <c r="H77" s="479">
        <f>IFERROR(Raw_Data!U24,0)</f>
        <v>0</v>
      </c>
      <c r="I77" s="479">
        <f>IFERROR(Raw_Data!AB24,0)</f>
        <v>0</v>
      </c>
      <c r="J77" s="479">
        <f>IFERROR(Raw_Data!AI24,0)</f>
        <v>0</v>
      </c>
      <c r="K77" s="479">
        <f>IFERROR(Raw_Data!AP24,0)</f>
        <v>0</v>
      </c>
      <c r="L77" s="479">
        <f>IFERROR(Raw_Data!AW24,0)</f>
        <v>0</v>
      </c>
      <c r="M77" s="479">
        <f>IFERROR(Raw_Data!BD24,0)</f>
        <v>0</v>
      </c>
      <c r="N77" s="479">
        <f>IFERROR(Raw_Data!BK24,0)</f>
        <v>0</v>
      </c>
      <c r="O77" s="479">
        <f>IFERROR(Raw_Data!BR24,0)</f>
        <v>0</v>
      </c>
      <c r="P77">
        <f t="shared" si="7"/>
        <v>0</v>
      </c>
      <c r="Q77" s="695"/>
    </row>
    <row r="78" spans="1:17" ht="14">
      <c r="A78" s="106" t="s">
        <v>286</v>
      </c>
      <c r="B78" s="606" t="s">
        <v>920</v>
      </c>
      <c r="C78" s="480">
        <f>IFERROR('Energy balance'!C18*#REF!,0)</f>
        <v>0</v>
      </c>
      <c r="D78" s="480">
        <f>IFERROR('Energy balance'!D18*#REF!,0)</f>
        <v>0</v>
      </c>
      <c r="E78" s="481">
        <f>IFERROR('Energy balance'!E18*#REF!,0)</f>
        <v>0</v>
      </c>
      <c r="F78" s="481">
        <f>IFERROR('Energy balance'!F18*#REF!,0)</f>
        <v>0</v>
      </c>
      <c r="G78" s="481">
        <f>IFERROR('Energy balance'!G18*#REF!,0)</f>
        <v>0</v>
      </c>
      <c r="H78" s="481">
        <f>IFERROR('Energy balance'!H18*#REF!,0)</f>
        <v>0</v>
      </c>
      <c r="I78" s="482">
        <f>IFERROR('Energy balance'!I18*#REF!,0)</f>
        <v>0</v>
      </c>
      <c r="J78" s="482">
        <f>IFERROR('Energy balance'!J18*#REF!,0)</f>
        <v>0</v>
      </c>
      <c r="K78" s="482">
        <f>IFERROR('Energy balance'!K18*#REF!,0)</f>
        <v>0</v>
      </c>
      <c r="L78" s="482">
        <f>IFERROR('Energy balance'!L18*#REF!,0)</f>
        <v>0</v>
      </c>
      <c r="M78" s="479">
        <f>IFERROR(Raw_Data!BD25,0)</f>
        <v>0</v>
      </c>
      <c r="N78" s="484">
        <f>IFERROR('Energy balance'!N18*#REF!,0)</f>
        <v>0</v>
      </c>
      <c r="O78" s="484">
        <f>IFERROR('Energy balance'!O18*#REF!,0)</f>
        <v>0</v>
      </c>
      <c r="P78">
        <f t="shared" si="7"/>
        <v>0</v>
      </c>
      <c r="Q78" s="698"/>
    </row>
    <row r="79" spans="1:17" ht="14">
      <c r="A79" s="106" t="s">
        <v>286</v>
      </c>
      <c r="B79" s="606" t="s">
        <v>921</v>
      </c>
      <c r="C79" s="480">
        <f>IFERROR('Energy balance'!C19*#REF!,0)</f>
        <v>0</v>
      </c>
      <c r="D79" s="480">
        <f>IFERROR('Energy balance'!D19*#REF!,0)</f>
        <v>0</v>
      </c>
      <c r="E79" s="480">
        <f>IFERROR('Energy balance'!E19*#REF!,0)</f>
        <v>0</v>
      </c>
      <c r="F79" s="480">
        <f>IFERROR('Energy balance'!F19*#REF!,0)</f>
        <v>0</v>
      </c>
      <c r="G79" s="480">
        <f>IFERROR('Energy balance'!G19*#REF!,0)</f>
        <v>0</v>
      </c>
      <c r="H79" s="480">
        <f>IFERROR('Energy balance'!H19*#REF!,0)</f>
        <v>0</v>
      </c>
      <c r="I79" s="482">
        <f>IFERROR('Energy balance'!I19*#REF!,0)</f>
        <v>0</v>
      </c>
      <c r="J79" s="482">
        <f>IFERROR('Energy balance'!J19*#REF!,0)</f>
        <v>0</v>
      </c>
      <c r="K79" s="482">
        <f>IFERROR('Energy balance'!K19*#REF!,0)</f>
        <v>0</v>
      </c>
      <c r="L79" s="482">
        <f>IFERROR('Energy balance'!L19*#REF!,0)</f>
        <v>0</v>
      </c>
      <c r="M79" s="485">
        <f>IFERROR('Energy balance'!M19*#REF!,0)</f>
        <v>0</v>
      </c>
      <c r="N79" s="486">
        <f>IFERROR('Energy balance'!N19*#REF!,0)</f>
        <v>0</v>
      </c>
      <c r="O79" s="486">
        <f>IFERROR('Energy balance'!O19*#REF!,0)</f>
        <v>0</v>
      </c>
      <c r="P79">
        <f t="shared" si="7"/>
        <v>0</v>
      </c>
      <c r="Q79" s="698"/>
    </row>
    <row r="80" spans="1:17" ht="14">
      <c r="A80" s="106" t="s">
        <v>286</v>
      </c>
      <c r="B80" s="591" t="s">
        <v>883</v>
      </c>
      <c r="C80" s="481">
        <f>IFERROR('Energy balance'!C11*#REF!,0)</f>
        <v>0</v>
      </c>
      <c r="D80" s="481">
        <f>IFERROR('Energy balance'!D11*#REF!,0)</f>
        <v>0</v>
      </c>
      <c r="E80" s="481">
        <f>IFERROR('Energy balance'!E11*#REF!,0)</f>
        <v>0</v>
      </c>
      <c r="F80" s="479">
        <f>IFERROR(Raw_Data!G18,0)</f>
        <v>7200</v>
      </c>
      <c r="G80" s="479">
        <f>IFERROR(Raw_Data!N18,0)</f>
        <v>7328</v>
      </c>
      <c r="H80" s="479">
        <f>IFERROR(Raw_Data!U18,0)</f>
        <v>7808</v>
      </c>
      <c r="I80" s="479">
        <f>IFERROR(Raw_Data!AB18,0)</f>
        <v>7520</v>
      </c>
      <c r="J80" s="479">
        <f>IFERROR(Raw_Data!AI18,0)</f>
        <v>7360</v>
      </c>
      <c r="K80" s="479">
        <f>IFERROR(Raw_Data!AP18,0)</f>
        <v>7488</v>
      </c>
      <c r="L80" s="479">
        <f>IFERROR(Raw_Data!AW18,0)</f>
        <v>6624</v>
      </c>
      <c r="M80" s="479">
        <f>IFERROR(Raw_Data!BD18,0)</f>
        <v>7008</v>
      </c>
      <c r="N80" s="479">
        <f>IFERROR(Raw_Data!BK18,0)</f>
        <v>7328</v>
      </c>
      <c r="O80" s="479">
        <f>IFERROR(Raw_Data!BR18,0)</f>
        <v>6848</v>
      </c>
      <c r="P80">
        <f t="shared" si="7"/>
        <v>1.9728458397460666E-2</v>
      </c>
      <c r="Q80" s="695"/>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c r="Q81" s="695"/>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SUM(C66:C83)</f>
        <v>0</v>
      </c>
      <c r="D84" s="364">
        <f>SUM(D66:D83)</f>
        <v>0</v>
      </c>
      <c r="E84" s="364">
        <f>SUM(E66:E83)</f>
        <v>0</v>
      </c>
      <c r="F84" s="364">
        <f>SUM(F66:F83)</f>
        <v>149921.71299999999</v>
      </c>
      <c r="G84" s="364">
        <f>SUM(G66:G83)</f>
        <v>149804.98799999998</v>
      </c>
      <c r="H84" s="364">
        <f>SUM(H66:H83)</f>
        <v>151990.538</v>
      </c>
      <c r="I84" s="364">
        <f>SUM(I66:I83)</f>
        <v>150021.647</v>
      </c>
      <c r="J84" s="364">
        <f>SUM(J66:J83)</f>
        <v>145727.82500000001</v>
      </c>
      <c r="K84" s="364">
        <f>SUM(K66:K83)</f>
        <v>144958.19</v>
      </c>
      <c r="L84" s="364">
        <f>SUM(L66:L83)</f>
        <v>148407.723</v>
      </c>
      <c r="M84" s="364">
        <f>SUM(M66:M83)</f>
        <v>149081.122</v>
      </c>
      <c r="N84" s="364">
        <f>SUM(N66:N83)</f>
        <v>150605.69900000002</v>
      </c>
      <c r="O84" s="364">
        <f>SUM(O66:O83)</f>
        <v>152303.18100000001</v>
      </c>
    </row>
    <row r="86" spans="1:17" ht="16" thickBot="1">
      <c r="B86" s="357" t="s">
        <v>919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887</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c r="P88">
        <f>O88/(O110+O88+O66+O44+O23)</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c r="P89">
        <f t="shared" ref="P89:P102" si="8">O89/(O111+O89+O67+O45+O24)</f>
        <v>0</v>
      </c>
    </row>
    <row r="90" spans="1:17" ht="14">
      <c r="A90" s="106" t="s">
        <v>294</v>
      </c>
      <c r="B90" s="591" t="s">
        <v>886</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c r="P90">
        <f t="shared" si="8"/>
        <v>0</v>
      </c>
    </row>
    <row r="91" spans="1:17" ht="14">
      <c r="A91" s="106" t="s">
        <v>294</v>
      </c>
      <c r="B91" s="591" t="s">
        <v>885</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c r="P91">
        <f t="shared" si="8"/>
        <v>9.1552939325786151E-3</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c r="P92">
        <f t="shared" si="8"/>
        <v>1</v>
      </c>
    </row>
    <row r="93" spans="1:17" ht="14">
      <c r="A93" s="106" t="s">
        <v>294</v>
      </c>
      <c r="B93" s="591" t="s">
        <v>884</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P93">
        <f t="shared" si="8"/>
        <v>0</v>
      </c>
      <c r="Q93" s="106"/>
    </row>
    <row r="94" spans="1:17" ht="14">
      <c r="A94" s="106" t="s">
        <v>294</v>
      </c>
      <c r="B94" s="591" t="s">
        <v>882</v>
      </c>
      <c r="C94" s="481">
        <f>IFERROR('Energy balance'!C12*$Q94,0)</f>
        <v>0</v>
      </c>
      <c r="D94" s="481">
        <f>IFERROR('Energy balance'!D12*$Q94,0)</f>
        <v>0</v>
      </c>
      <c r="E94" s="481">
        <f>IFERROR('Energy balance'!E12*$Q94,0)</f>
        <v>0</v>
      </c>
      <c r="F94" s="598">
        <f>(IFERROR(Raw_Data!H19,0))+(IFERROR(Raw_Data!I19,0))</f>
        <v>0</v>
      </c>
      <c r="G94" s="599">
        <f>(IFERROR(Raw_Data!IO19,0))+(IFERROR(Raw_Data!P19,0))</f>
        <v>0</v>
      </c>
      <c r="H94" s="599">
        <f>(IFERROR(Raw_Data!V19,0))+(IFERROR(Raw_Data!W19,0))</f>
        <v>0</v>
      </c>
      <c r="I94" s="599">
        <f>(IFERROR(Raw_Data!AC19,0))+(IFERROR(Raw_Data!AD19,0))</f>
        <v>0</v>
      </c>
      <c r="J94" s="599">
        <f>(IFERROR(Raw_Data!AJ19,0))+(IFERROR(Raw_Data!AK19,0))</f>
        <v>0</v>
      </c>
      <c r="K94" s="599">
        <f>(IFERROR(Raw_Data!AQ19,0))+(IFERROR(Raw_Data!AR19,0))</f>
        <v>0</v>
      </c>
      <c r="L94" s="599">
        <f>(IFERROR(Raw_Data!AX19,0))+(IFERROR(Raw_Data!AY19,0))</f>
        <v>0</v>
      </c>
      <c r="M94" s="599">
        <f>(IFERROR(Raw_Data!BE19,0))+(IFERROR(Raw_Data!BF19,0))</f>
        <v>0</v>
      </c>
      <c r="N94" s="599">
        <f>(IFERROR(Raw_Data!BL19,0))+(IFERROR(Raw_Data!BM19,0))</f>
        <v>0</v>
      </c>
      <c r="O94" s="599">
        <f>(IFERROR(Raw_Data!BS19,0))+(IFERROR(Raw_Data!BT19,0))</f>
        <v>0</v>
      </c>
      <c r="P94">
        <f t="shared" si="8"/>
        <v>0</v>
      </c>
      <c r="Q94" s="106"/>
    </row>
    <row r="95" spans="1:17" ht="14">
      <c r="A95" s="106" t="s">
        <v>294</v>
      </c>
      <c r="B95" s="591" t="s">
        <v>881</v>
      </c>
      <c r="C95" s="480">
        <f>IFERROR('Energy balance'!C13*$Q95,0)</f>
        <v>0</v>
      </c>
      <c r="D95" s="480">
        <f>IFERROR('Energy balance'!D13*$Q95,0)</f>
        <v>0</v>
      </c>
      <c r="E95" s="480">
        <f>IFERROR('Energy balance'!E13*$Q95,0)</f>
        <v>0</v>
      </c>
      <c r="F95" s="598">
        <f>(IFERROR(Raw_Data!H20,0))+(IFERROR(Raw_Data!I20,0))</f>
        <v>0</v>
      </c>
      <c r="G95" s="599">
        <f>(IFERROR(Raw_Data!IO20,0))+(IFERROR(Raw_Data!P20,0))</f>
        <v>0</v>
      </c>
      <c r="H95" s="599">
        <f>(IFERROR(Raw_Data!V20,0))+(IFERROR(Raw_Data!W20,0))</f>
        <v>0</v>
      </c>
      <c r="I95" s="599">
        <f>(IFERROR(Raw_Data!AC20,0))+(IFERROR(Raw_Data!AD20,0))</f>
        <v>0</v>
      </c>
      <c r="J95" s="599">
        <f>(IFERROR(Raw_Data!AJ20,0))+(IFERROR(Raw_Data!AK20,0))</f>
        <v>0</v>
      </c>
      <c r="K95" s="599">
        <f>(IFERROR(Raw_Data!AQ20,0))+(IFERROR(Raw_Data!AR20,0))</f>
        <v>0</v>
      </c>
      <c r="L95" s="599">
        <f>(IFERROR(Raw_Data!AX20,0))+(IFERROR(Raw_Data!AY20,0))</f>
        <v>0</v>
      </c>
      <c r="M95" s="599">
        <f>(IFERROR(Raw_Data!BE20,0))+(IFERROR(Raw_Data!BF20,0))</f>
        <v>0</v>
      </c>
      <c r="N95" s="599">
        <f>(IFERROR(Raw_Data!BL20,0))+(IFERROR(Raw_Data!BM20,0))</f>
        <v>0</v>
      </c>
      <c r="O95" s="599">
        <f>(IFERROR(Raw_Data!BS20,0))+(IFERROR(Raw_Data!BT20,0))</f>
        <v>0</v>
      </c>
      <c r="P95">
        <f t="shared" si="8"/>
        <v>0</v>
      </c>
      <c r="Q95" s="106"/>
    </row>
    <row r="96" spans="1:17" ht="14">
      <c r="A96" s="106" t="s">
        <v>294</v>
      </c>
      <c r="B96" s="591" t="s">
        <v>880</v>
      </c>
      <c r="C96" s="480">
        <f>IFERROR('Energy balance'!C14*$Q96,0)</f>
        <v>0</v>
      </c>
      <c r="D96" s="480">
        <f>IFERROR('Energy balance'!D14*$Q96,0)</f>
        <v>0</v>
      </c>
      <c r="E96" s="480">
        <f>IFERROR('Energy balance'!E14*$Q96,0)</f>
        <v>0</v>
      </c>
      <c r="F96" s="598">
        <f>(IFERROR(Raw_Data!H21,0))+(IFERROR(Raw_Data!I21,0))</f>
        <v>0</v>
      </c>
      <c r="G96" s="599">
        <f>(IFERROR(Raw_Data!IO21,0))+(IFERROR(Raw_Data!P21,0))</f>
        <v>0</v>
      </c>
      <c r="H96" s="599">
        <f>(IFERROR(Raw_Data!V21,0))+(IFERROR(Raw_Data!W21,0))</f>
        <v>0</v>
      </c>
      <c r="I96" s="599">
        <f>(IFERROR(Raw_Data!AC21,0))+(IFERROR(Raw_Data!AD21,0))</f>
        <v>0</v>
      </c>
      <c r="J96" s="599">
        <f>(IFERROR(Raw_Data!AJ21,0))+(IFERROR(Raw_Data!AK21,0))</f>
        <v>0</v>
      </c>
      <c r="K96" s="599">
        <f>(IFERROR(Raw_Data!AQ21,0))+(IFERROR(Raw_Data!AR21,0))</f>
        <v>0</v>
      </c>
      <c r="L96" s="599">
        <f>(IFERROR(Raw_Data!AX21,0))+(IFERROR(Raw_Data!AY21,0))</f>
        <v>0</v>
      </c>
      <c r="M96" s="599">
        <f>(IFERROR(Raw_Data!BE21,0))+(IFERROR(Raw_Data!BF21,0))</f>
        <v>0</v>
      </c>
      <c r="N96" s="599">
        <f>(IFERROR(Raw_Data!BL21,0))+(IFERROR(Raw_Data!BM21,0))</f>
        <v>0</v>
      </c>
      <c r="O96" s="599">
        <f>(IFERROR(Raw_Data!BS21,0))+(IFERROR(Raw_Data!BT21,0))</f>
        <v>0</v>
      </c>
      <c r="P96">
        <f t="shared" si="8"/>
        <v>0</v>
      </c>
      <c r="Q96" s="106"/>
    </row>
    <row r="97" spans="1:17" ht="14">
      <c r="A97" s="106" t="s">
        <v>294</v>
      </c>
      <c r="B97" s="591" t="s">
        <v>879</v>
      </c>
      <c r="C97" s="480">
        <f>IFERROR('Energy balance'!C15*$Q97,0)</f>
        <v>0</v>
      </c>
      <c r="D97" s="480">
        <f>IFERROR('Energy balance'!D15*$Q97,0)</f>
        <v>0</v>
      </c>
      <c r="E97" s="480">
        <f>IFERROR('Energy balance'!E15*$Q97,0)</f>
        <v>0</v>
      </c>
      <c r="F97" s="598">
        <f>(IFERROR(Raw_Data!H22,0))+(IFERROR(Raw_Data!I22,0))</f>
        <v>0</v>
      </c>
      <c r="G97" s="599">
        <f>(IFERROR(Raw_Data!IO22,0))+(IFERROR(Raw_Data!P22,0))</f>
        <v>0</v>
      </c>
      <c r="H97" s="599">
        <f>(IFERROR(Raw_Data!V22,0))+(IFERROR(Raw_Data!W22,0))</f>
        <v>0</v>
      </c>
      <c r="I97" s="599">
        <f>(IFERROR(Raw_Data!AC22,0))+(IFERROR(Raw_Data!AD22,0))</f>
        <v>0</v>
      </c>
      <c r="J97" s="599">
        <f>(IFERROR(Raw_Data!AJ22,0))+(IFERROR(Raw_Data!AK22,0))</f>
        <v>0</v>
      </c>
      <c r="K97" s="599">
        <f>(IFERROR(Raw_Data!AQ22,0))+(IFERROR(Raw_Data!AR22,0))</f>
        <v>0</v>
      </c>
      <c r="L97" s="599">
        <f>(IFERROR(Raw_Data!AX22,0))+(IFERROR(Raw_Data!AY22,0))</f>
        <v>0</v>
      </c>
      <c r="M97" s="599">
        <f>(IFERROR(Raw_Data!BE22,0))+(IFERROR(Raw_Data!BF22,0))</f>
        <v>0</v>
      </c>
      <c r="N97" s="599">
        <f>(IFERROR(Raw_Data!BL22,0))+(IFERROR(Raw_Data!BM22,0))</f>
        <v>0</v>
      </c>
      <c r="O97" s="599">
        <f>(IFERROR(Raw_Data!BS22,0))+(IFERROR(Raw_Data!BT22,0))</f>
        <v>0</v>
      </c>
      <c r="P97">
        <f t="shared" si="8"/>
        <v>0</v>
      </c>
      <c r="Q97" s="106"/>
    </row>
    <row r="98" spans="1:17" ht="14">
      <c r="A98" s="106" t="s">
        <v>294</v>
      </c>
      <c r="B98" s="591" t="s">
        <v>79</v>
      </c>
      <c r="C98" s="480">
        <f>IFERROR('Energy balance'!C16*$Q98,0)</f>
        <v>0</v>
      </c>
      <c r="D98" s="480">
        <f>IFERROR('Energy balance'!D16*$Q98,0)</f>
        <v>0</v>
      </c>
      <c r="E98" s="480">
        <f>IFERROR('Energy balance'!E16*$Q98,0)</f>
        <v>0</v>
      </c>
      <c r="F98" s="598">
        <f>(IFERROR(Raw_Data!H23,0))+(IFERROR(Raw_Data!I23,0))</f>
        <v>253650.128</v>
      </c>
      <c r="G98" s="599">
        <f>(IFERROR(Raw_Data!IO23,0))+(IFERROR(Raw_Data!P23,0))</f>
        <v>12294</v>
      </c>
      <c r="H98" s="599">
        <f>(IFERROR(Raw_Data!V23,0))+(IFERROR(Raw_Data!W23,0))</f>
        <v>248196.092</v>
      </c>
      <c r="I98" s="599">
        <f>(IFERROR(Raw_Data!AC23,0))+(IFERROR(Raw_Data!AD23,0))</f>
        <v>246923.61499999999</v>
      </c>
      <c r="J98" s="599">
        <f>(IFERROR(Raw_Data!AJ23,0))+(IFERROR(Raw_Data!AK23,0))</f>
        <v>240219.45</v>
      </c>
      <c r="K98" s="599">
        <f>(IFERROR(Raw_Data!AQ23,0))+(IFERROR(Raw_Data!AR23,0))</f>
        <v>238510.58</v>
      </c>
      <c r="L98" s="599">
        <f>(IFERROR(Raw_Data!AX23,0))+(IFERROR(Raw_Data!AY23,0))</f>
        <v>232723.81400000001</v>
      </c>
      <c r="M98" s="599">
        <f>(IFERROR(Raw_Data!BE23,0))+(IFERROR(Raw_Data!BF23,0))</f>
        <v>233067.56099999999</v>
      </c>
      <c r="N98" s="599">
        <f>(IFERROR(Raw_Data!BL23,0))+(IFERROR(Raw_Data!BM23,0))</f>
        <v>234818.84100000001</v>
      </c>
      <c r="O98" s="599">
        <f>(IFERROR(Raw_Data!BS23,0))+(IFERROR(Raw_Data!BT23,0))</f>
        <v>236131.272</v>
      </c>
      <c r="P98">
        <f t="shared" si="8"/>
        <v>0.51163821820307964</v>
      </c>
      <c r="Q98" s="106"/>
    </row>
    <row r="99" spans="1:17" ht="14">
      <c r="A99" s="106" t="s">
        <v>294</v>
      </c>
      <c r="B99" s="591" t="s">
        <v>219</v>
      </c>
      <c r="C99" s="480">
        <f>IFERROR('Energy balance'!C17*$Q99,0)</f>
        <v>0</v>
      </c>
      <c r="D99" s="480">
        <f>IFERROR('Energy balance'!D17*$Q99,0)</f>
        <v>0</v>
      </c>
      <c r="E99" s="480">
        <f>IFERROR('Energy balance'!E17*$Q99,0)</f>
        <v>0</v>
      </c>
      <c r="F99" s="598">
        <f>(IFERROR(Raw_Data!H24,0))+(IFERROR(Raw_Data!I24,0))</f>
        <v>0</v>
      </c>
      <c r="G99" s="599">
        <f>(IFERROR(Raw_Data!IO24,0))+(IFERROR(Raw_Data!P24,0))</f>
        <v>0</v>
      </c>
      <c r="H99" s="599">
        <f>(IFERROR(Raw_Data!V24,0))+(IFERROR(Raw_Data!W24,0))</f>
        <v>0</v>
      </c>
      <c r="I99" s="599">
        <f>(IFERROR(Raw_Data!AC24,0))+(IFERROR(Raw_Data!AD24,0))</f>
        <v>0</v>
      </c>
      <c r="J99" s="599">
        <f>(IFERROR(Raw_Data!AJ24,0))+(IFERROR(Raw_Data!AK24,0))</f>
        <v>0</v>
      </c>
      <c r="K99" s="599">
        <f>(IFERROR(Raw_Data!AQ24,0))+(IFERROR(Raw_Data!AR24,0))</f>
        <v>0</v>
      </c>
      <c r="L99" s="599">
        <f>(IFERROR(Raw_Data!AX24,0))+(IFERROR(Raw_Data!AY24,0))</f>
        <v>0</v>
      </c>
      <c r="M99" s="599">
        <f>(IFERROR(Raw_Data!BE24,0))+(IFERROR(Raw_Data!BF24,0))</f>
        <v>0</v>
      </c>
      <c r="N99" s="599">
        <f>(IFERROR(Raw_Data!BL24,0))+(IFERROR(Raw_Data!BM24,0))</f>
        <v>0</v>
      </c>
      <c r="O99" s="599">
        <f>(IFERROR(Raw_Data!BS24,0))+(IFERROR(Raw_Data!BT24,0))</f>
        <v>0</v>
      </c>
      <c r="P99">
        <f t="shared" si="8"/>
        <v>0</v>
      </c>
      <c r="Q99" s="106"/>
    </row>
    <row r="100" spans="1:17" ht="14">
      <c r="A100" s="106" t="s">
        <v>294</v>
      </c>
      <c r="B100" s="606" t="s">
        <v>920</v>
      </c>
      <c r="C100" s="480">
        <f>IFERROR('Energy balance'!C18*$Q100,0)</f>
        <v>0</v>
      </c>
      <c r="D100" s="480">
        <f>IFERROR('Energy balance'!D18*$Q100,0)</f>
        <v>0</v>
      </c>
      <c r="E100" s="481">
        <f>IFERROR('Energy balance'!E18*$Q100,0)</f>
        <v>0</v>
      </c>
      <c r="F100" s="481">
        <f>SUM(F91:F93)</f>
        <v>4813.2889999999998</v>
      </c>
      <c r="G100" s="481">
        <f>SUM(G91:G93)</f>
        <v>4729.51</v>
      </c>
      <c r="H100" s="481">
        <f>SUM(H91:H93)</f>
        <v>4554.7449999999999</v>
      </c>
      <c r="I100" s="481">
        <f>SUM(I91:I93)</f>
        <v>4556.3209999999999</v>
      </c>
      <c r="J100" s="481">
        <f>SUM(J91:J93)</f>
        <v>4567.3510000000006</v>
      </c>
      <c r="K100" s="481">
        <f>SUM(K91:K93)</f>
        <v>4511.402</v>
      </c>
      <c r="L100" s="481">
        <f>SUM(L91:L93)</f>
        <v>4797.7650000000003</v>
      </c>
      <c r="M100" s="481">
        <f>SUM(M91:M93)</f>
        <v>4282.3990000000003</v>
      </c>
      <c r="N100" s="481">
        <f>SUM(N91:N93)</f>
        <v>4882.6570000000002</v>
      </c>
      <c r="O100" s="481">
        <f>SUM(O91:O93)</f>
        <v>4796.6120000000001</v>
      </c>
      <c r="P100">
        <f t="shared" si="8"/>
        <v>5.0249711401164597E-3</v>
      </c>
      <c r="Q100" s="106"/>
    </row>
    <row r="101" spans="1:17" ht="14">
      <c r="A101" s="106" t="s">
        <v>294</v>
      </c>
      <c r="B101" s="606" t="s">
        <v>921</v>
      </c>
      <c r="C101" s="480">
        <f>IFERROR('Energy balance'!C19*$Q101,0)</f>
        <v>0</v>
      </c>
      <c r="D101" s="480">
        <f>IFERROR('Energy balance'!D19*$Q101,0)</f>
        <v>0</v>
      </c>
      <c r="E101" s="480">
        <f>IFERROR('Energy balance'!E19*$Q101,0)</f>
        <v>0</v>
      </c>
      <c r="F101" s="480">
        <f>IFERROR('Energy balance'!F19*$Q101,0)</f>
        <v>0</v>
      </c>
      <c r="G101" s="480">
        <f>IFERROR('Energy balance'!G19*$Q101,0)</f>
        <v>0</v>
      </c>
      <c r="H101" s="480">
        <f>IFERROR('Energy balance'!H19*$Q101,0)</f>
        <v>0</v>
      </c>
      <c r="I101" s="482">
        <f>IFERROR('Energy balance'!I19*$Q101,0)</f>
        <v>0</v>
      </c>
      <c r="J101" s="482">
        <f>IFERROR('Energy balance'!J19*$Q101,0)</f>
        <v>0</v>
      </c>
      <c r="K101" s="482">
        <f>IFERROR('Energy balance'!K19*$Q101,0)</f>
        <v>0</v>
      </c>
      <c r="L101" s="482">
        <f>IFERROR('Energy balance'!L19*$Q101,0)</f>
        <v>0</v>
      </c>
      <c r="M101" s="485">
        <f>IFERROR('Energy balance'!M19*$Q101,0)</f>
        <v>0</v>
      </c>
      <c r="N101" s="486">
        <f>IFERROR('Energy balance'!N19*$Q101,0)</f>
        <v>0</v>
      </c>
      <c r="O101" s="486">
        <f>IFERROR('Energy balance'!O19*$Q101,0)</f>
        <v>0</v>
      </c>
      <c r="P101">
        <f t="shared" si="8"/>
        <v>0</v>
      </c>
      <c r="Q101" s="106"/>
    </row>
    <row r="102" spans="1:17" ht="14">
      <c r="A102" s="106" t="s">
        <v>294</v>
      </c>
      <c r="B102" s="591" t="s">
        <v>883</v>
      </c>
      <c r="C102" s="481">
        <f>IFERROR('Energy balance'!C11*$Q102,0)</f>
        <v>0</v>
      </c>
      <c r="D102" s="481">
        <f>IFERROR('Energy balance'!D11*$Q102,0)</f>
        <v>0</v>
      </c>
      <c r="E102" s="481">
        <f>IFERROR('Energy balance'!E11*$Q102,0)</f>
        <v>0</v>
      </c>
      <c r="F102" s="598">
        <f>(IFERROR(Raw_Data!H18,0))+(IFERROR(Raw_Data!I18,0))</f>
        <v>0</v>
      </c>
      <c r="G102" s="599">
        <f>(IFERROR(Raw_Data!IO18,0))+(IFERROR(Raw_Data!P18,0))</f>
        <v>0</v>
      </c>
      <c r="H102" s="599">
        <f>(IFERROR(Raw_Data!V18,0))+(IFERROR(Raw_Data!W18,0))</f>
        <v>0</v>
      </c>
      <c r="I102" s="599">
        <f>(IFERROR(Raw_Data!AC18,0))+(IFERROR(Raw_Data!AD18,0))</f>
        <v>0</v>
      </c>
      <c r="J102" s="599">
        <f>(IFERROR(Raw_Data!AJ18,0))+(IFERROR(Raw_Data!AK18,0))</f>
        <v>0</v>
      </c>
      <c r="K102" s="599">
        <f>(IFERROR(Raw_Data!AQ18,0))+(IFERROR(Raw_Data!AR18,0))</f>
        <v>0</v>
      </c>
      <c r="L102" s="599">
        <f>(IFERROR(Raw_Data!AX18,0))+(IFERROR(Raw_Data!AY18,0))</f>
        <v>0</v>
      </c>
      <c r="M102" s="599">
        <f>(IFERROR(Raw_Data!BE18,0))+(IFERROR(Raw_Data!BF18,0))</f>
        <v>0</v>
      </c>
      <c r="N102" s="599">
        <f>(IFERROR(Raw_Data!BL18,0))+(IFERROR(Raw_Data!BM18,0))</f>
        <v>0</v>
      </c>
      <c r="O102" s="599">
        <f>(IFERROR(Raw_Data!BS18,0))+(IFERROR(Raw_Data!BT18,0))</f>
        <v>0</v>
      </c>
      <c r="P102">
        <f t="shared" si="8"/>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SUM(C88:C105)</f>
        <v>0</v>
      </c>
      <c r="D106" s="364">
        <f>SUM(D88:D105)</f>
        <v>0</v>
      </c>
      <c r="E106" s="364">
        <f>SUM(E88:E105)</f>
        <v>0</v>
      </c>
      <c r="F106" s="364">
        <f>SUM(F88:F105)</f>
        <v>263276.70600000001</v>
      </c>
      <c r="G106" s="364">
        <f>SUM(G88:G105)</f>
        <v>21753.020000000004</v>
      </c>
      <c r="H106" s="364">
        <f>SUM(H88:H105)</f>
        <v>257305.58199999999</v>
      </c>
      <c r="I106" s="364">
        <f>SUM(I88:I105)</f>
        <v>256036.25699999998</v>
      </c>
      <c r="J106" s="364">
        <f>SUM(J88:J105)</f>
        <v>249354.152</v>
      </c>
      <c r="K106" s="364">
        <f>SUM(K88:K105)</f>
        <v>247533.38399999999</v>
      </c>
      <c r="L106" s="364">
        <f>SUM(L88:L105)</f>
        <v>242319.34400000004</v>
      </c>
      <c r="M106" s="364">
        <f>SUM(M88:M105)</f>
        <v>241632.359</v>
      </c>
      <c r="N106" s="364">
        <f>SUM(N88:N105)</f>
        <v>244584.15500000003</v>
      </c>
      <c r="O106" s="364">
        <f>SUM(O88:O90)+SUM(O94:O100)</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887</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P110">
        <f>O110/(O110+O88+O66+O44+O23)</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P111">
        <f t="shared" ref="P111:P124" si="9">O111/(O111+O89+O67+O45+O24)</f>
        <v>0</v>
      </c>
      <c r="Q111" s="106"/>
    </row>
    <row r="112" spans="1:17" ht="14">
      <c r="A112" s="106" t="s">
        <v>295</v>
      </c>
      <c r="B112" s="591" t="s">
        <v>886</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P112">
        <f t="shared" si="9"/>
        <v>0</v>
      </c>
      <c r="Q112" s="106"/>
    </row>
    <row r="113" spans="1:17" ht="14">
      <c r="A113" s="106" t="s">
        <v>295</v>
      </c>
      <c r="B113" s="591" t="s">
        <v>885</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P113">
        <f t="shared" si="9"/>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P114">
        <f t="shared" si="9"/>
        <v>0</v>
      </c>
      <c r="Q114" s="106"/>
    </row>
    <row r="115" spans="1:17" ht="14">
      <c r="A115" s="106" t="s">
        <v>295</v>
      </c>
      <c r="B115" s="591" t="s">
        <v>884</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P115">
        <f t="shared" si="9"/>
        <v>0</v>
      </c>
      <c r="Q115" s="106"/>
    </row>
    <row r="116" spans="1:17" ht="14">
      <c r="A116" s="106" t="s">
        <v>295</v>
      </c>
      <c r="B116" s="591" t="s">
        <v>882</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P116">
        <f t="shared" si="9"/>
        <v>0</v>
      </c>
      <c r="Q116" s="106"/>
    </row>
    <row r="117" spans="1:17" ht="14">
      <c r="A117" s="106" t="s">
        <v>295</v>
      </c>
      <c r="B117" s="591" t="s">
        <v>881</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P117">
        <f t="shared" si="9"/>
        <v>0</v>
      </c>
      <c r="Q117" s="106"/>
    </row>
    <row r="118" spans="1:17" ht="14">
      <c r="A118" s="106" t="s">
        <v>295</v>
      </c>
      <c r="B118" s="591" t="s">
        <v>880</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P118">
        <f t="shared" si="9"/>
        <v>0</v>
      </c>
      <c r="Q118" s="106"/>
    </row>
    <row r="119" spans="1:17" ht="14">
      <c r="A119" s="106" t="s">
        <v>295</v>
      </c>
      <c r="B119" s="591" t="s">
        <v>879</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P119">
        <f t="shared" si="9"/>
        <v>0</v>
      </c>
      <c r="Q119" s="106"/>
    </row>
    <row r="120" spans="1:17" ht="14">
      <c r="A120" s="106" t="s">
        <v>295</v>
      </c>
      <c r="B120" s="591" t="s">
        <v>79</v>
      </c>
      <c r="C120" s="480">
        <f>IFERROR('Energy balance'!C15*#REF!,0)</f>
        <v>0</v>
      </c>
      <c r="D120" s="480">
        <f>IFERROR('Energy balance'!D15*#REF!,0)</f>
        <v>0</v>
      </c>
      <c r="E120" s="480">
        <f>IFERROR('Energy balance'!E15*#REF!,0)</f>
        <v>0</v>
      </c>
      <c r="F120" s="479">
        <v>4470.5919999999996</v>
      </c>
      <c r="G120" s="479">
        <v>4309.6859999999997</v>
      </c>
      <c r="H120" s="479">
        <v>4322.308</v>
      </c>
      <c r="I120" s="479">
        <v>4290.7569999999996</v>
      </c>
      <c r="J120" s="479">
        <v>4176.9250000000002</v>
      </c>
      <c r="K120" s="479">
        <v>4149.1220000000003</v>
      </c>
      <c r="L120" s="479">
        <v>4449.33</v>
      </c>
      <c r="M120" s="479">
        <v>4615.2</v>
      </c>
      <c r="N120" s="479">
        <v>4454.8270000000002</v>
      </c>
      <c r="O120" s="479">
        <v>4603.9459999999999</v>
      </c>
      <c r="P120">
        <f t="shared" si="9"/>
        <v>9.9756152931035572E-3</v>
      </c>
      <c r="Q120" s="106"/>
    </row>
    <row r="121" spans="1:17" ht="14">
      <c r="A121" s="106" t="s">
        <v>295</v>
      </c>
      <c r="B121" s="591" t="s">
        <v>219</v>
      </c>
      <c r="C121" s="480">
        <f>IFERROR('Energy balance'!C16*#REF!,0)</f>
        <v>0</v>
      </c>
      <c r="D121" s="480">
        <f>IFERROR('Energy balance'!D16*#REF!,0)</f>
        <v>0</v>
      </c>
      <c r="E121" s="480">
        <f>IFERROR('Energy balance'!E16*#REF!,0)</f>
        <v>0</v>
      </c>
      <c r="F121" s="479">
        <v>0</v>
      </c>
      <c r="G121" s="479">
        <v>0</v>
      </c>
      <c r="H121" s="479">
        <v>0</v>
      </c>
      <c r="I121" s="479">
        <v>0</v>
      </c>
      <c r="J121" s="479">
        <v>0</v>
      </c>
      <c r="K121" s="479">
        <v>0</v>
      </c>
      <c r="L121" s="479">
        <v>0</v>
      </c>
      <c r="M121" s="479">
        <v>0</v>
      </c>
      <c r="N121" s="479">
        <v>0</v>
      </c>
      <c r="O121" s="479">
        <v>0</v>
      </c>
      <c r="P121">
        <f t="shared" si="9"/>
        <v>0</v>
      </c>
      <c r="Q121" s="361"/>
    </row>
    <row r="122" spans="1:17" ht="14">
      <c r="A122" s="106" t="s">
        <v>295</v>
      </c>
      <c r="B122" s="606" t="s">
        <v>920</v>
      </c>
      <c r="C122" s="480">
        <f>IFERROR('Energy balance'!C17*#REF!,0)</f>
        <v>0</v>
      </c>
      <c r="D122" s="480">
        <f>IFERROR('Energy balance'!D17*#REF!,0)</f>
        <v>0</v>
      </c>
      <c r="E122" s="480">
        <f>IFERROR('Energy balance'!E17*#REF!,0)</f>
        <v>0</v>
      </c>
      <c r="F122" s="479">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P122">
        <f t="shared" si="9"/>
        <v>0</v>
      </c>
      <c r="Q122" s="106"/>
    </row>
    <row r="123" spans="1:17" ht="14">
      <c r="A123" s="106" t="s">
        <v>295</v>
      </c>
      <c r="B123" s="606" t="s">
        <v>921</v>
      </c>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P123">
        <f t="shared" si="9"/>
        <v>0</v>
      </c>
      <c r="Q123" s="106"/>
    </row>
    <row r="124" spans="1:17" ht="14">
      <c r="A124" s="106" t="s">
        <v>295</v>
      </c>
      <c r="B124" s="591" t="s">
        <v>883</v>
      </c>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P124">
        <f t="shared" si="9"/>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10">SUM(D110:D127)</f>
        <v>0</v>
      </c>
      <c r="E128" s="364">
        <f t="shared" ref="E128" si="11">SUM(E110:E127)</f>
        <v>0</v>
      </c>
      <c r="F128" s="364">
        <f t="shared" ref="F128" si="12">SUM(F110:F127)</f>
        <v>4470.5919999999996</v>
      </c>
      <c r="G128" s="364">
        <f t="shared" ref="G128" si="13">SUM(G110:G127)</f>
        <v>4309.6859999999997</v>
      </c>
      <c r="H128" s="364">
        <f t="shared" ref="H128" si="14">SUM(H110:H127)</f>
        <v>4322.308</v>
      </c>
      <c r="I128" s="364">
        <f t="shared" ref="I128" si="15">SUM(I110:I127)</f>
        <v>4290.7569999999996</v>
      </c>
      <c r="J128" s="364">
        <f t="shared" ref="J128" si="16">SUM(J110:J127)</f>
        <v>4176.9250000000002</v>
      </c>
      <c r="K128" s="364">
        <f t="shared" ref="K128" si="17">SUM(K110:K127)</f>
        <v>4149.1220000000003</v>
      </c>
      <c r="L128" s="364">
        <f t="shared" ref="L128" si="18">SUM(L110:L127)</f>
        <v>4449.33</v>
      </c>
      <c r="M128" s="364">
        <f t="shared" ref="M128" si="19">SUM(M110:M127)</f>
        <v>4615.2</v>
      </c>
      <c r="N128" s="364">
        <f t="shared" ref="N128:O128" si="20">SUM(N110:N127)</f>
        <v>4454.8270000000002</v>
      </c>
      <c r="O128" s="364">
        <f t="shared" si="20"/>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67" zoomScale="60" zoomScaleNormal="60" workbookViewId="0">
      <selection activeCell="AI9" sqref="AI9"/>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938</v>
      </c>
      <c r="I7" s="204" t="s">
        <v>749</v>
      </c>
      <c r="J7" s="204" t="s">
        <v>750</v>
      </c>
      <c r="K7" s="204" t="s">
        <v>940</v>
      </c>
      <c r="L7" s="204" t="s">
        <v>865</v>
      </c>
      <c r="M7" s="204" t="s">
        <v>866</v>
      </c>
      <c r="N7" s="204" t="s">
        <v>941</v>
      </c>
      <c r="O7" s="204" t="s">
        <v>867</v>
      </c>
      <c r="P7" s="204" t="s">
        <v>868</v>
      </c>
      <c r="Q7" s="573" t="str">
        <f>H7&amp;"~2100"</f>
        <v>STOCK~DE1~2100</v>
      </c>
      <c r="R7" s="573" t="str">
        <f>I7&amp;"~2100"</f>
        <v>STOCK~AZ2~2100</v>
      </c>
      <c r="S7" s="573" t="str">
        <f>J7&amp;"~2100"</f>
        <v>STOCK~AZ3~2100</v>
      </c>
      <c r="T7" s="573" t="s">
        <v>942</v>
      </c>
      <c r="U7" s="573" t="s">
        <v>850</v>
      </c>
      <c r="V7" s="573" t="s">
        <v>851</v>
      </c>
      <c r="W7" s="573" t="s">
        <v>943</v>
      </c>
      <c r="X7" s="573" t="s">
        <v>869</v>
      </c>
      <c r="Y7" s="573" t="s">
        <v>870</v>
      </c>
      <c r="Z7" s="573" t="s">
        <v>944</v>
      </c>
      <c r="AA7" s="573" t="s">
        <v>871</v>
      </c>
      <c r="AB7" s="573" t="s">
        <v>872</v>
      </c>
      <c r="AC7" s="573" t="s">
        <v>945</v>
      </c>
      <c r="AD7" s="573" t="s">
        <v>855</v>
      </c>
      <c r="AE7" s="573" t="s">
        <v>852</v>
      </c>
      <c r="AF7" s="573" t="s">
        <v>946</v>
      </c>
      <c r="AG7" s="573" t="s">
        <v>853</v>
      </c>
      <c r="AH7" s="573" t="s">
        <v>854</v>
      </c>
      <c r="AI7" s="205" t="s">
        <v>939</v>
      </c>
      <c r="AJ7" s="205" t="s">
        <v>751</v>
      </c>
      <c r="AK7" s="205" t="s">
        <v>752</v>
      </c>
      <c r="AL7" s="205" t="s">
        <v>947</v>
      </c>
      <c r="AM7" s="205" t="s">
        <v>861</v>
      </c>
      <c r="AN7" s="205" t="s">
        <v>862</v>
      </c>
      <c r="AO7" s="205" t="s">
        <v>948</v>
      </c>
      <c r="AP7" s="205" t="s">
        <v>863</v>
      </c>
      <c r="AQ7" s="205" t="s">
        <v>864</v>
      </c>
      <c r="AR7" s="205" t="s">
        <v>949</v>
      </c>
      <c r="AS7" s="205" t="s">
        <v>874</v>
      </c>
      <c r="AT7" s="205" t="s">
        <v>875</v>
      </c>
      <c r="AU7" s="159" t="s">
        <v>114</v>
      </c>
      <c r="AV7" s="159" t="s">
        <v>184</v>
      </c>
      <c r="AW7" s="159" t="s">
        <v>107</v>
      </c>
      <c r="AX7" s="298"/>
      <c r="AY7" s="198"/>
      <c r="AZ7" s="199"/>
      <c r="BA7" s="216" t="s">
        <v>937</v>
      </c>
      <c r="BB7" s="217" t="s">
        <v>237</v>
      </c>
      <c r="BC7" s="217" t="s">
        <v>238</v>
      </c>
      <c r="BD7" s="217" t="s">
        <v>937</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0.93</v>
      </c>
      <c r="AJ9" s="525" t="e">
        <f t="shared" si="9"/>
        <v>#DIV/0!</v>
      </c>
      <c r="AK9" s="525" t="e">
        <f t="shared" si="9"/>
        <v>#DIV/0!</v>
      </c>
      <c r="AL9" s="525">
        <f>AL10/2</f>
        <v>1.1580099999999998</v>
      </c>
      <c r="AM9" s="525" t="e">
        <f t="shared" si="9"/>
        <v>#DIV/0!</v>
      </c>
      <c r="AN9" s="525" t="e">
        <f t="shared" si="9"/>
        <v>#DIV/0!</v>
      </c>
      <c r="AO9" s="525">
        <f t="shared" si="9"/>
        <v>1.2149999999999999</v>
      </c>
      <c r="AP9" s="525" t="e">
        <f t="shared" si="9"/>
        <v>#DIV/0!</v>
      </c>
      <c r="AQ9" s="525" t="e">
        <f t="shared" si="9"/>
        <v>#DIV/0!</v>
      </c>
      <c r="AR9" s="525">
        <f t="shared" si="9"/>
        <v>1.1449999999999998</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1422.17</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1466.94</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1488.92</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853.30200000000002</v>
      </c>
      <c r="R10" s="535">
        <f t="shared" si="7"/>
        <v>0</v>
      </c>
      <c r="S10" s="535">
        <f t="shared" si="7"/>
        <v>0</v>
      </c>
      <c r="T10" s="535">
        <f t="shared" ref="T10:AB10" si="14">H10*$K$2</f>
        <v>1407.9483</v>
      </c>
      <c r="U10" s="535">
        <f t="shared" si="14"/>
        <v>0</v>
      </c>
      <c r="V10" s="535">
        <f t="shared" si="14"/>
        <v>0</v>
      </c>
      <c r="W10" s="535">
        <f>K10*$K$2</f>
        <v>1452.2706000000001</v>
      </c>
      <c r="X10" s="535">
        <f t="shared" si="14"/>
        <v>0</v>
      </c>
      <c r="Y10" s="535">
        <f t="shared" si="14"/>
        <v>0</v>
      </c>
      <c r="Z10" s="535">
        <f t="shared" si="14"/>
        <v>1474.0308</v>
      </c>
      <c r="AA10" s="535">
        <f t="shared" si="14"/>
        <v>0</v>
      </c>
      <c r="AB10" s="535">
        <f t="shared" si="14"/>
        <v>0</v>
      </c>
      <c r="AC10" s="535">
        <f>Q10*$K$3</f>
        <v>844.76898000000006</v>
      </c>
      <c r="AD10" s="535">
        <f>R10*$K$3</f>
        <v>0</v>
      </c>
      <c r="AE10" s="535">
        <f>S10*$K$3</f>
        <v>0</v>
      </c>
      <c r="AF10" s="535">
        <v>5</v>
      </c>
      <c r="AG10" s="535">
        <v>5</v>
      </c>
      <c r="AH10" s="535">
        <v>5</v>
      </c>
      <c r="AI10" s="526">
        <f>ROUNDUP(SUM(H9:H15)/SUM(Boilers_DR!AB6:AB15),2)</f>
        <v>1.86</v>
      </c>
      <c r="AJ10" s="526" t="e">
        <f>ROUNDUP(SUM(I9:I15)/SUM(Boilers_DR!AC6:AC15),2)</f>
        <v>#DIV/0!</v>
      </c>
      <c r="AK10" s="526" t="e">
        <f>ROUNDUP(SUM(J9:J15)/SUM(Boilers_DR!AD6:AD15),2)</f>
        <v>#DIV/0!</v>
      </c>
      <c r="AL10" s="526">
        <f>ROUNDUP(SUM(K9:K15)/SUM(Boilers_DR!AB46:AB55),2)*AL3</f>
        <v>2.3160199999999995</v>
      </c>
      <c r="AM10" s="526" t="e">
        <f>ROUNDUP(SUM(L9:L15)/SUM(Boilers_DR!AC46:AC55),2)*AM3</f>
        <v>#DIV/0!</v>
      </c>
      <c r="AN10" s="526" t="e">
        <f>ROUNDUP(SUM(M9:M15)/SUM(Boilers_DR!AD46:AD55),2)*AN3</f>
        <v>#DIV/0!</v>
      </c>
      <c r="AO10" s="526">
        <f>ROUNDUP(SUM(N9:N15)/SUM(Boilers_DR!AB86:AB95),2)</f>
        <v>2.4299999999999997</v>
      </c>
      <c r="AP10" s="526" t="e">
        <f>ROUNDUP(SUM(O9:O15)/SUM(Boilers_DR!AC86:AC95),2)</f>
        <v>#DIV/0!</v>
      </c>
      <c r="AQ10" s="526" t="e">
        <f>ROUNDUP(SUM(P9:P15)/SUM(Boilers_DR!AD86:AD95),2)</f>
        <v>#DIV/0!</v>
      </c>
      <c r="AR10" s="526">
        <f>ROUNDUP(SUM(N9:N15)/SUM(Boilers_DR!AB126:AB135),2)</f>
        <v>2.2899999999999996</v>
      </c>
      <c r="AS10" s="526" t="e">
        <f>ROUNDUP(SUM(O9:O15)/SUM(Boilers_DR!AC126:AC135),2)</f>
        <v>#DIV/0!</v>
      </c>
      <c r="AT10" s="526" t="e">
        <f>ROUNDUP(SUM(P9:P15)/SUM(Boilers_DR!AD126:AD135),2)</f>
        <v>#DIV/0!</v>
      </c>
      <c r="AU10" s="163">
        <v>1</v>
      </c>
      <c r="AV10" s="162">
        <v>1</v>
      </c>
      <c r="AW10" s="160"/>
      <c r="AX10" s="162"/>
      <c r="AY10" s="162"/>
      <c r="AZ10" s="199"/>
      <c r="BA10" s="533">
        <f t="shared" si="10"/>
        <v>1422.17</v>
      </c>
      <c r="BB10" s="533">
        <f t="shared" si="11"/>
        <v>0</v>
      </c>
      <c r="BC10" s="533">
        <f t="shared" si="12"/>
        <v>0</v>
      </c>
      <c r="BD10" s="534">
        <f t="shared" si="13"/>
        <v>764.60752688172045</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2.9350000000000001</v>
      </c>
      <c r="AJ11" s="526" t="e">
        <f t="shared" si="16"/>
        <v>#DIV/0!</v>
      </c>
      <c r="AK11" s="526" t="e">
        <f t="shared" si="16"/>
        <v>#DIV/0!</v>
      </c>
      <c r="AL11" s="526">
        <f t="shared" si="16"/>
        <v>3.1630099999999999</v>
      </c>
      <c r="AM11" s="526" t="e">
        <f t="shared" si="16"/>
        <v>#DIV/0!</v>
      </c>
      <c r="AN11" s="526" t="e">
        <f t="shared" si="16"/>
        <v>#DIV/0!</v>
      </c>
      <c r="AO11" s="526">
        <f t="shared" si="16"/>
        <v>3.2199999999999998</v>
      </c>
      <c r="AP11" s="526" t="e">
        <f t="shared" si="16"/>
        <v>#DIV/0!</v>
      </c>
      <c r="AQ11" s="526" t="e">
        <f t="shared" si="16"/>
        <v>#DIV/0!</v>
      </c>
      <c r="AR11" s="526">
        <f t="shared" ref="AR11:AT11" si="17">AR10/2+AR12/2</f>
        <v>3.1499999999999995</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0.86</v>
      </c>
      <c r="AJ16" s="525" t="e">
        <f t="shared" si="21"/>
        <v>#DIV/0!</v>
      </c>
      <c r="AK16" s="525" t="e">
        <f t="shared" si="21"/>
        <v>#DIV/0!</v>
      </c>
      <c r="AL16" s="525">
        <f t="shared" si="21"/>
        <v>1.0735199999999998</v>
      </c>
      <c r="AM16" s="525" t="e">
        <f t="shared" si="21"/>
        <v>#DIV/0!</v>
      </c>
      <c r="AN16" s="525" t="e">
        <f t="shared" si="21"/>
        <v>#DIV/0!</v>
      </c>
      <c r="AO16" s="525">
        <f t="shared" si="21"/>
        <v>1.125</v>
      </c>
      <c r="AP16" s="525" t="e">
        <f t="shared" si="21"/>
        <v>#DIV/0!</v>
      </c>
      <c r="AQ16" s="525" t="e">
        <f t="shared" si="21"/>
        <v>#DIV/0!</v>
      </c>
      <c r="AR16" s="525">
        <f t="shared" si="21"/>
        <v>1.0599999999999998</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1082.78</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1116.8599999999999</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1133.5999999999999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649.66800000000001</v>
      </c>
      <c r="R17" s="535">
        <f t="shared" si="19"/>
        <v>0</v>
      </c>
      <c r="S17" s="535">
        <f t="shared" si="19"/>
        <v>0</v>
      </c>
      <c r="T17" s="535">
        <f t="shared" ref="T17:AB17" si="25">H17*$K$2</f>
        <v>1071.9521999999999</v>
      </c>
      <c r="U17" s="535">
        <f t="shared" si="25"/>
        <v>0</v>
      </c>
      <c r="V17" s="535">
        <f t="shared" si="25"/>
        <v>0</v>
      </c>
      <c r="W17" s="535">
        <f t="shared" si="25"/>
        <v>1105.6913999999999</v>
      </c>
      <c r="X17" s="535">
        <f t="shared" si="25"/>
        <v>0</v>
      </c>
      <c r="Y17" s="535">
        <f t="shared" si="25"/>
        <v>0</v>
      </c>
      <c r="Z17" s="535">
        <f t="shared" si="25"/>
        <v>1122.2639999999999</v>
      </c>
      <c r="AA17" s="535">
        <f t="shared" si="25"/>
        <v>0</v>
      </c>
      <c r="AB17" s="535">
        <f t="shared" si="25"/>
        <v>0</v>
      </c>
      <c r="AC17" s="535">
        <f>Q17*$K$3</f>
        <v>643.17132000000004</v>
      </c>
      <c r="AD17" s="535">
        <f>R17*$K$3</f>
        <v>0</v>
      </c>
      <c r="AE17" s="535">
        <f>S17*$K$3</f>
        <v>0</v>
      </c>
      <c r="AF17" s="535">
        <v>5</v>
      </c>
      <c r="AG17" s="535">
        <v>5</v>
      </c>
      <c r="AH17" s="535">
        <v>5</v>
      </c>
      <c r="AI17" s="526">
        <f>ROUNDUP(SUM(H16:H22)/SUM(Boilers_DR!AB16:AB25),2)</f>
        <v>1.72</v>
      </c>
      <c r="AJ17" s="526" t="e">
        <f>ROUNDUP(SUM(I16:I22)/SUM(Boilers_DR!AC16:AC25),2)</f>
        <v>#DIV/0!</v>
      </c>
      <c r="AK17" s="526" t="e">
        <f>ROUNDUP(SUM(J16:J22)/SUM(Boilers_DR!AD16:AD25),2)</f>
        <v>#DIV/0!</v>
      </c>
      <c r="AL17" s="526">
        <f>ROUNDUP(SUM(K16:K22)/SUM(Boilers_DR!AB56:AB65),2)*AL3</f>
        <v>2.1470399999999996</v>
      </c>
      <c r="AM17" s="526" t="e">
        <f>ROUNDUP(SUM(L16:L22)/SUM(Boilers_DR!AC56:AC65),2)*AM3</f>
        <v>#DIV/0!</v>
      </c>
      <c r="AN17" s="526" t="e">
        <f>ROUNDUP(SUM(M16:M22)/SUM(Boilers_DR!AD56:AD65),2)*AN3</f>
        <v>#DIV/0!</v>
      </c>
      <c r="AO17" s="526">
        <f>ROUNDUP(SUM(N16:N22)/SUM(Boilers_DR!AB96:AB105),2)</f>
        <v>2.25</v>
      </c>
      <c r="AP17" s="526" t="e">
        <f>ROUNDUP(SUM(O16:O22)/SUM(Boilers_DR!AC96:AC105),2)</f>
        <v>#DIV/0!</v>
      </c>
      <c r="AQ17" s="526" t="e">
        <f>ROUNDUP(SUM(P16:P22)/SUM(Boilers_DR!AD96:AD105),2)</f>
        <v>#DIV/0!</v>
      </c>
      <c r="AR17" s="526">
        <f>ROUNDUP(SUM(N16:N22)/SUM(Boilers_DR!AB136:AB145),2)</f>
        <v>2.1199999999999997</v>
      </c>
      <c r="AS17" s="526" t="e">
        <f>ROUNDUP(SUM(O16:O22)/SUM(Boilers_DR!AC136:AC145),2)</f>
        <v>#DIV/0!</v>
      </c>
      <c r="AT17" s="526" t="e">
        <f>ROUNDUP(SUM(P16:P22)/SUM(Boilers_DR!AD136:AD145),2)</f>
        <v>#DIV/0!</v>
      </c>
      <c r="AU17" s="163">
        <v>1</v>
      </c>
      <c r="AV17" s="162">
        <v>1</v>
      </c>
      <c r="AW17" s="160"/>
      <c r="AX17" s="162"/>
      <c r="AY17" s="162"/>
      <c r="AZ17" s="199"/>
      <c r="BA17" s="533">
        <f t="shared" si="10"/>
        <v>1082.78</v>
      </c>
      <c r="BB17" s="533">
        <f t="shared" si="11"/>
        <v>0</v>
      </c>
      <c r="BC17" s="533">
        <f t="shared" si="12"/>
        <v>0</v>
      </c>
      <c r="BD17" s="534">
        <f t="shared" si="22"/>
        <v>629.52325581395348</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2.8649999999999998</v>
      </c>
      <c r="AJ18" s="526" t="e">
        <f t="shared" si="27"/>
        <v>#DIV/0!</v>
      </c>
      <c r="AK18" s="526" t="e">
        <f t="shared" si="27"/>
        <v>#DIV/0!</v>
      </c>
      <c r="AL18" s="526">
        <f t="shared" si="27"/>
        <v>3.0785199999999997</v>
      </c>
      <c r="AM18" s="526" t="e">
        <f t="shared" si="27"/>
        <v>#DIV/0!</v>
      </c>
      <c r="AN18" s="526" t="e">
        <f t="shared" si="27"/>
        <v>#DIV/0!</v>
      </c>
      <c r="AO18" s="526">
        <f t="shared" si="27"/>
        <v>3.13</v>
      </c>
      <c r="AP18" s="526" t="e">
        <f t="shared" si="27"/>
        <v>#DIV/0!</v>
      </c>
      <c r="AQ18" s="526" t="e">
        <f t="shared" si="27"/>
        <v>#DIV/0!</v>
      </c>
      <c r="AR18" s="526">
        <f t="shared" ref="AR18:AT18" si="28">AR17/2+AR19/2</f>
        <v>3.0649999999999995</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0"/>
      <c r="BM19" s="650"/>
      <c r="BN19" s="650"/>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1.1099999999999999</v>
      </c>
      <c r="AJ23" s="525" t="e">
        <f t="shared" si="31"/>
        <v>#DIV/0!</v>
      </c>
      <c r="AK23" s="525" t="e">
        <f t="shared" si="31"/>
        <v>#DIV/0!</v>
      </c>
      <c r="AL23" s="525">
        <f t="shared" si="31"/>
        <v>1.3816599999999999</v>
      </c>
      <c r="AM23" s="525" t="e">
        <f t="shared" si="31"/>
        <v>#DIV/0!</v>
      </c>
      <c r="AN23" s="525" t="e">
        <f t="shared" si="31"/>
        <v>#DIV/0!</v>
      </c>
      <c r="AO23" s="525">
        <f t="shared" si="31"/>
        <v>1.4449999999999998</v>
      </c>
      <c r="AP23" s="525" t="e">
        <f t="shared" si="31"/>
        <v>#DIV/0!</v>
      </c>
      <c r="AQ23" s="525" t="e">
        <f t="shared" si="31"/>
        <v>#DIV/0!</v>
      </c>
      <c r="AR23" s="525">
        <f t="shared" si="31"/>
        <v>1.365</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997.28</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1028.67</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1044.0899999999999</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598.36799999999994</v>
      </c>
      <c r="R24" s="535">
        <f t="shared" si="29"/>
        <v>0</v>
      </c>
      <c r="S24" s="535">
        <f t="shared" si="29"/>
        <v>0</v>
      </c>
      <c r="T24" s="535">
        <f t="shared" ref="T24:AB24" si="32">H24*$K$2</f>
        <v>987.30719999999997</v>
      </c>
      <c r="U24" s="535">
        <f t="shared" si="32"/>
        <v>0</v>
      </c>
      <c r="V24" s="535">
        <f t="shared" si="32"/>
        <v>0</v>
      </c>
      <c r="W24" s="535">
        <f>K24*$K$2</f>
        <v>1018.3833000000001</v>
      </c>
      <c r="X24" s="535">
        <f t="shared" si="32"/>
        <v>0</v>
      </c>
      <c r="Y24" s="535">
        <f t="shared" si="32"/>
        <v>0</v>
      </c>
      <c r="Z24" s="535">
        <f>N24*$K$2</f>
        <v>1033.6490999999999</v>
      </c>
      <c r="AA24" s="535">
        <f t="shared" si="32"/>
        <v>0</v>
      </c>
      <c r="AB24" s="535">
        <f t="shared" si="32"/>
        <v>0</v>
      </c>
      <c r="AC24" s="535">
        <f>Q24*$K$3</f>
        <v>592.38431999999989</v>
      </c>
      <c r="AD24" s="535">
        <f>R24*$K$3</f>
        <v>0</v>
      </c>
      <c r="AE24" s="535">
        <f>S24*$K$3</f>
        <v>0</v>
      </c>
      <c r="AF24" s="535">
        <v>5</v>
      </c>
      <c r="AG24" s="535">
        <v>5</v>
      </c>
      <c r="AH24" s="535">
        <v>5</v>
      </c>
      <c r="AI24" s="526">
        <f>ROUNDUP(SUM(H23:H29)/SUM(Boilers_DR!AB26:AB35),2)</f>
        <v>2.2199999999999998</v>
      </c>
      <c r="AJ24" s="526" t="e">
        <f>ROUNDUP(SUM(I23:I29)/SUM(Boilers_DR!AC26:AC35),2)</f>
        <v>#DIV/0!</v>
      </c>
      <c r="AK24" s="526" t="e">
        <f>ROUNDUP(SUM(J23:J29)/SUM(Boilers_DR!AD26:AD35),2)</f>
        <v>#DIV/0!</v>
      </c>
      <c r="AL24" s="526">
        <f>ROUNDUP(SUM(K23:K29)/SUM(Boilers_DR!AB66:AB75),2)*AL3</f>
        <v>2.7633199999999998</v>
      </c>
      <c r="AM24" s="526" t="e">
        <f>ROUNDUP(SUM(L23:L29)/SUM(Boilers_DR!AC66:AC75),2)*AM3</f>
        <v>#DIV/0!</v>
      </c>
      <c r="AN24" s="526" t="e">
        <f>ROUNDUP(SUM(M23:M29)/SUM(Boilers_DR!AD66:AD75),2)*AN3</f>
        <v>#DIV/0!</v>
      </c>
      <c r="AO24" s="526">
        <f>ROUNDUP(SUM(N23:N29)/SUM(Boilers_DR!AB106:AB115),2)</f>
        <v>2.8899999999999997</v>
      </c>
      <c r="AP24" s="526" t="e">
        <f>ROUNDUP(SUM(O23:O29)/SUM(Boilers_DR!AC106:AC115),2)</f>
        <v>#DIV/0!</v>
      </c>
      <c r="AQ24" s="526" t="e">
        <f>ROUNDUP(SUM(P23:P29)/SUM(Boilers_DR!AD106:AD115),2)</f>
        <v>#DIV/0!</v>
      </c>
      <c r="AR24" s="526">
        <f>ROUNDUP(SUM(N23:N29)/SUM(Boilers_DR!AB146:AB155),2)</f>
        <v>2.73</v>
      </c>
      <c r="AS24" s="526" t="e">
        <f>ROUNDUP(SUM(O23:O29)/SUM(Boilers_DR!AC146:AC155),2)</f>
        <v>#DIV/0!</v>
      </c>
      <c r="AT24" s="526" t="e">
        <f>ROUNDUP(SUM(P23:P29)/SUM(Boilers_DR!AD146:AD155),2)</f>
        <v>#DIV/0!</v>
      </c>
      <c r="AU24" s="163">
        <v>1</v>
      </c>
      <c r="AV24" s="162">
        <v>1</v>
      </c>
      <c r="AW24" s="160"/>
      <c r="AX24" s="162"/>
      <c r="AY24" s="162"/>
      <c r="AZ24" s="199"/>
      <c r="BA24" s="533">
        <f t="shared" si="10"/>
        <v>997.28</v>
      </c>
      <c r="BB24" s="533">
        <f t="shared" si="11"/>
        <v>0</v>
      </c>
      <c r="BC24" s="533">
        <f t="shared" si="12"/>
        <v>0</v>
      </c>
      <c r="BD24" s="534">
        <f t="shared" si="22"/>
        <v>449.22522522522524</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2.6799999999999997</v>
      </c>
      <c r="AJ25" s="526" t="e">
        <f t="shared" si="34"/>
        <v>#DIV/0!</v>
      </c>
      <c r="AK25" s="526" t="e">
        <f t="shared" si="34"/>
        <v>#DIV/0!</v>
      </c>
      <c r="AL25" s="526">
        <f t="shared" si="34"/>
        <v>2.95166</v>
      </c>
      <c r="AM25" s="526" t="e">
        <f t="shared" si="34"/>
        <v>#DIV/0!</v>
      </c>
      <c r="AN25" s="526" t="e">
        <f t="shared" si="34"/>
        <v>#DIV/0!</v>
      </c>
      <c r="AO25" s="526">
        <f t="shared" si="34"/>
        <v>3.0149999999999997</v>
      </c>
      <c r="AP25" s="526" t="e">
        <f t="shared" si="34"/>
        <v>#DIV/0!</v>
      </c>
      <c r="AQ25" s="526" t="e">
        <f t="shared" si="34"/>
        <v>#DIV/0!</v>
      </c>
      <c r="AR25" s="526">
        <f t="shared" ref="AR25:AT25" si="35">AR24/2+AR26/2</f>
        <v>2.9350000000000001</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1.0099999999999998</v>
      </c>
      <c r="AJ30" s="525" t="e">
        <f t="shared" si="39"/>
        <v>#DIV/0!</v>
      </c>
      <c r="AK30" s="525" t="e">
        <f t="shared" si="39"/>
        <v>#DIV/0!</v>
      </c>
      <c r="AL30" s="526">
        <f t="shared" si="39"/>
        <v>1.2623799999999998</v>
      </c>
      <c r="AM30" s="525" t="e">
        <f t="shared" si="39"/>
        <v>#DIV/0!</v>
      </c>
      <c r="AN30" s="525" t="e">
        <f t="shared" si="39"/>
        <v>#DIV/0!</v>
      </c>
      <c r="AO30" s="526">
        <f t="shared" si="39"/>
        <v>1.3199999999999998</v>
      </c>
      <c r="AP30" s="525" t="e">
        <f t="shared" si="39"/>
        <v>#DIV/0!</v>
      </c>
      <c r="AQ30" s="525" t="e">
        <f t="shared" si="39"/>
        <v>#DIV/0!</v>
      </c>
      <c r="AR30" s="526">
        <f t="shared" si="39"/>
        <v>1.2449999999999999</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55.79</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57.55</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58.41</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33.473999999999997</v>
      </c>
      <c r="R31" s="535">
        <f t="shared" si="37"/>
        <v>0</v>
      </c>
      <c r="S31" s="535">
        <f t="shared" si="37"/>
        <v>0</v>
      </c>
      <c r="T31" s="535">
        <f t="shared" ref="T31:AB31" si="41">H31*$K$2</f>
        <v>55.232099999999996</v>
      </c>
      <c r="U31" s="535">
        <f t="shared" si="41"/>
        <v>0</v>
      </c>
      <c r="V31" s="535">
        <f t="shared" si="41"/>
        <v>0</v>
      </c>
      <c r="W31" s="535">
        <f t="shared" si="41"/>
        <v>56.974499999999999</v>
      </c>
      <c r="X31" s="535">
        <f t="shared" si="41"/>
        <v>0</v>
      </c>
      <c r="Y31" s="535">
        <f t="shared" si="41"/>
        <v>0</v>
      </c>
      <c r="Z31" s="535">
        <f t="shared" si="41"/>
        <v>57.825899999999997</v>
      </c>
      <c r="AA31" s="535">
        <f t="shared" si="41"/>
        <v>0</v>
      </c>
      <c r="AB31" s="535">
        <f t="shared" si="41"/>
        <v>0</v>
      </c>
      <c r="AC31" s="535">
        <f>Q31*$K$3</f>
        <v>33.139259999999993</v>
      </c>
      <c r="AD31" s="535">
        <f>R31*$K$3</f>
        <v>0</v>
      </c>
      <c r="AE31" s="535">
        <f>S31*$K$3</f>
        <v>0</v>
      </c>
      <c r="AF31" s="535">
        <v>5</v>
      </c>
      <c r="AG31" s="535">
        <v>5</v>
      </c>
      <c r="AH31" s="535">
        <v>5</v>
      </c>
      <c r="AI31" s="526">
        <f>ROUNDUP(SUM(H30:H36)/SUM(Boilers_DR!AB36:AB45),2)</f>
        <v>2.0199999999999996</v>
      </c>
      <c r="AJ31" s="526" t="e">
        <f>ROUNDUP(SUM(I30:I36)/SUM(Boilers_DR!AC36:AC45),2)</f>
        <v>#DIV/0!</v>
      </c>
      <c r="AK31" s="526" t="e">
        <f>ROUNDUP(SUM(J30:J36)/SUM(Boilers_DR!AD36:AD45),2)</f>
        <v>#DIV/0!</v>
      </c>
      <c r="AL31" s="526">
        <f>ROUNDUP(SUM(K30:K36)/SUM(Boilers_DR!AB76:AB85),2)*AL3</f>
        <v>2.5247599999999997</v>
      </c>
      <c r="AM31" s="526" t="e">
        <f>ROUNDUP(SUM(L30:L36)/SUM(Boilers_DR!AC76:AC85),2)*AM3</f>
        <v>#DIV/0!</v>
      </c>
      <c r="AN31" s="526" t="e">
        <f>ROUNDUP(SUM(M30:M36)/SUM(Boilers_DR!AD76:AD85),2)*AN3</f>
        <v>#DIV/0!</v>
      </c>
      <c r="AO31" s="526">
        <f>ROUNDUP(SUM(N30:N36)/SUM(Boilers_DR!AB116:AB125),2)</f>
        <v>2.6399999999999997</v>
      </c>
      <c r="AP31" s="526" t="e">
        <f>ROUNDUP(SUM(O30:O36)/SUM(Boilers_DR!AC116:AC125),2)</f>
        <v>#DIV/0!</v>
      </c>
      <c r="AQ31" s="526" t="e">
        <f>ROUNDUP(SUM(P30:P36)/SUM(Boilers_DR!AD116:AD125),2)</f>
        <v>#DIV/0!</v>
      </c>
      <c r="AR31" s="526">
        <f>ROUNDUP(SUM(N30:N36)/SUM(Boilers_DR!AB156:AB165),2)</f>
        <v>2.4899999999999998</v>
      </c>
      <c r="AS31" s="526" t="e">
        <f>ROUNDUP(SUM(O30:O36)/SUM(Boilers_DR!AC156:AC165),2)</f>
        <v>#DIV/0!</v>
      </c>
      <c r="AT31" s="526" t="e">
        <f>ROUNDUP(SUM(P30:P36)/SUM(Boilers_DR!AD156:AD165),2)</f>
        <v>#DIV/0!</v>
      </c>
      <c r="AU31" s="163">
        <v>1</v>
      </c>
      <c r="AV31" s="162">
        <v>1</v>
      </c>
      <c r="AW31" s="160"/>
      <c r="AX31" s="162"/>
      <c r="AY31" s="162"/>
      <c r="AZ31" s="199"/>
      <c r="BA31" s="533">
        <f t="shared" si="10"/>
        <v>55.79</v>
      </c>
      <c r="BB31" s="533">
        <f t="shared" si="11"/>
        <v>0</v>
      </c>
      <c r="BC31" s="533">
        <f t="shared" si="12"/>
        <v>0</v>
      </c>
      <c r="BD31" s="534">
        <f t="shared" si="40"/>
        <v>27.618811881188122</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2.58</v>
      </c>
      <c r="AJ32" s="526" t="e">
        <f t="shared" si="43"/>
        <v>#DIV/0!</v>
      </c>
      <c r="AK32" s="526" t="e">
        <f t="shared" si="43"/>
        <v>#DIV/0!</v>
      </c>
      <c r="AL32" s="526">
        <f t="shared" si="43"/>
        <v>2.8323799999999997</v>
      </c>
      <c r="AM32" s="526" t="e">
        <f t="shared" si="43"/>
        <v>#DIV/0!</v>
      </c>
      <c r="AN32" s="526" t="e">
        <f t="shared" si="43"/>
        <v>#DIV/0!</v>
      </c>
      <c r="AO32" s="526">
        <f t="shared" si="43"/>
        <v>2.8899999999999997</v>
      </c>
      <c r="AP32" s="526" t="e">
        <f t="shared" si="43"/>
        <v>#DIV/0!</v>
      </c>
      <c r="AQ32" s="526" t="e">
        <f t="shared" si="43"/>
        <v>#DIV/0!</v>
      </c>
      <c r="AR32" s="526">
        <f t="shared" ref="AR32:AT32" si="44">AR31/2+AR33/2</f>
        <v>2.8149999999999999</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3" t="str">
        <f>H51&amp;"~2100"</f>
        <v>STOCK~DE1~2100</v>
      </c>
      <c r="R51" s="573" t="str">
        <f>I51&amp;"~2100"</f>
        <v>STOCK~AZ2~2100</v>
      </c>
      <c r="S51" s="573" t="str">
        <f>J51&amp;"~2100"</f>
        <v>STOCK~AZ3~2100</v>
      </c>
      <c r="T51" s="573" t="s">
        <v>942</v>
      </c>
      <c r="U51" s="573" t="s">
        <v>850</v>
      </c>
      <c r="V51" s="573" t="s">
        <v>851</v>
      </c>
      <c r="W51" s="573" t="str">
        <f t="shared" ref="W51:AB51" si="49">W7</f>
        <v>ACTBND~LO~DE1~2015</v>
      </c>
      <c r="X51" s="573" t="str">
        <f t="shared" si="49"/>
        <v>ACTBND~LO~AZ2~2015</v>
      </c>
      <c r="Y51" s="573" t="str">
        <f t="shared" si="49"/>
        <v>ACTBND~LO~AZ3~2015</v>
      </c>
      <c r="Z51" s="573" t="str">
        <f t="shared" si="49"/>
        <v>ACTBND~LO~DE1~2017</v>
      </c>
      <c r="AA51" s="573" t="str">
        <f t="shared" si="49"/>
        <v>ACTBND~LO~AZ2~2017</v>
      </c>
      <c r="AB51" s="573" t="str">
        <f t="shared" si="49"/>
        <v>ACTBND~LO~AZ3~2017</v>
      </c>
      <c r="AC51" s="573" t="s">
        <v>945</v>
      </c>
      <c r="AD51" s="573" t="s">
        <v>855</v>
      </c>
      <c r="AE51" s="573" t="s">
        <v>852</v>
      </c>
      <c r="AF51" s="573" t="s">
        <v>946</v>
      </c>
      <c r="AG51" s="573" t="s">
        <v>853</v>
      </c>
      <c r="AH51" s="573" t="s">
        <v>854</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378.71049999999997</v>
      </c>
      <c r="AJ53" s="528" t="e">
        <f t="shared" si="69"/>
        <v>#DIV/0!</v>
      </c>
      <c r="AK53" s="528" t="e">
        <f t="shared" si="69"/>
        <v>#DIV/0!</v>
      </c>
      <c r="AL53" s="528">
        <f>AL54/2</f>
        <v>420.89799999999997</v>
      </c>
      <c r="AM53" s="528" t="e">
        <f t="shared" si="69"/>
        <v>#DIV/0!</v>
      </c>
      <c r="AN53" s="528" t="e">
        <f t="shared" si="69"/>
        <v>#DIV/0!</v>
      </c>
      <c r="AO53" s="528">
        <f>AO54/2</f>
        <v>397.88849999999996</v>
      </c>
      <c r="AP53" s="528" t="e">
        <f t="shared" si="69"/>
        <v>#DIV/0!</v>
      </c>
      <c r="AQ53" s="528" t="e">
        <f t="shared" si="69"/>
        <v>#DIV/0!</v>
      </c>
      <c r="AR53" s="528">
        <f>AR54/2</f>
        <v>397.88849999999996</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853.30200000000002</v>
      </c>
      <c r="R54" s="535">
        <f t="shared" si="60"/>
        <v>0</v>
      </c>
      <c r="S54" s="535">
        <f t="shared" si="60"/>
        <v>0</v>
      </c>
      <c r="T54" s="535">
        <f t="shared" si="61"/>
        <v>1407.9483</v>
      </c>
      <c r="U54" s="535">
        <f t="shared" si="61"/>
        <v>0</v>
      </c>
      <c r="V54" s="535">
        <f t="shared" si="61"/>
        <v>0</v>
      </c>
      <c r="W54" s="535">
        <f>K54*0.99</f>
        <v>1452.2706000000001</v>
      </c>
      <c r="X54" s="535">
        <f t="shared" si="63"/>
        <v>0</v>
      </c>
      <c r="Y54" s="535">
        <f t="shared" si="64"/>
        <v>0</v>
      </c>
      <c r="Z54" s="535">
        <f>N54*0.99</f>
        <v>1474.0308</v>
      </c>
      <c r="AA54" s="535">
        <f t="shared" si="66"/>
        <v>0</v>
      </c>
      <c r="AB54" s="535">
        <f t="shared" si="67"/>
        <v>0</v>
      </c>
      <c r="AC54" s="535">
        <f t="shared" si="68"/>
        <v>844.76898000000006</v>
      </c>
      <c r="AD54" s="535">
        <f t="shared" si="68"/>
        <v>0</v>
      </c>
      <c r="AE54" s="535">
        <f t="shared" si="68"/>
        <v>0</v>
      </c>
      <c r="AF54" s="535">
        <f t="shared" si="68"/>
        <v>1393.868817</v>
      </c>
      <c r="AG54" s="535">
        <f t="shared" si="68"/>
        <v>0</v>
      </c>
      <c r="AH54" s="535">
        <f t="shared" si="68"/>
        <v>0</v>
      </c>
      <c r="AI54" s="529">
        <f>ROUNDUP(SUM(H53:H59)/Cooling!AA7,3)</f>
        <v>757.42099999999994</v>
      </c>
      <c r="AJ54" s="529" t="e">
        <f>ROUNDUP(SUM(I53:I59)/Cooling!AB7,3)</f>
        <v>#DIV/0!</v>
      </c>
      <c r="AK54" s="529" t="e">
        <f>ROUNDUP(SUM(J53:J59)/Cooling!AC7,3)</f>
        <v>#DIV/0!</v>
      </c>
      <c r="AL54" s="529">
        <f>ROUNDUP(SUM(K53:K59)/Cooling!AA11,3)</f>
        <v>841.79599999999994</v>
      </c>
      <c r="AM54" s="529" t="e">
        <f>ROUNDUP(SUM(L53:L59)/Cooling!AB11,3)</f>
        <v>#DIV/0!</v>
      </c>
      <c r="AN54" s="529" t="e">
        <f>ROUNDUP(SUM(M53:M59)/Cooling!AC11,3)</f>
        <v>#DIV/0!</v>
      </c>
      <c r="AO54" s="529">
        <f>ROUNDUP(SUM(N53:N59)/Cooling!AA15,3)</f>
        <v>795.77699999999993</v>
      </c>
      <c r="AP54" s="529" t="e">
        <f>ROUNDUP(SUM(O53:O59)/Cooling!AB15,3)</f>
        <v>#DIV/0!</v>
      </c>
      <c r="AQ54" s="529" t="e">
        <f>ROUNDUP(SUM(P53:P59)/Cooling!AC15,3)</f>
        <v>#DIV/0!</v>
      </c>
      <c r="AR54" s="529">
        <f>AO54</f>
        <v>795.77699999999993</v>
      </c>
      <c r="AS54" s="529" t="e">
        <f>AP54</f>
        <v>#DIV/0!</v>
      </c>
      <c r="AT54" s="529"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1195.1777607526881</v>
      </c>
      <c r="AJ55" s="529" t="e">
        <f t="shared" si="75"/>
        <v>#DIV/0!</v>
      </c>
      <c r="AK55" s="529" t="e">
        <f t="shared" si="75"/>
        <v>#DIV/0!</v>
      </c>
      <c r="AL55" s="529">
        <f t="shared" si="75"/>
        <v>1237.3652607526881</v>
      </c>
      <c r="AM55" s="529" t="e">
        <f t="shared" si="75"/>
        <v>#DIV/0!</v>
      </c>
      <c r="AN55" s="529" t="e">
        <f t="shared" si="75"/>
        <v>#DIV/0!</v>
      </c>
      <c r="AO55" s="529">
        <f t="shared" si="75"/>
        <v>1214.355760752688</v>
      </c>
      <c r="AP55" s="529" t="e">
        <f t="shared" si="75"/>
        <v>#DIV/0!</v>
      </c>
      <c r="AQ55" s="529" t="e">
        <f t="shared" si="75"/>
        <v>#DIV/0!</v>
      </c>
      <c r="AR55" s="529">
        <f t="shared" ref="AR55:AT55" si="76">AR54/2+AR56/2</f>
        <v>1214.355760752688</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1632.9345215053761</v>
      </c>
      <c r="AJ56" s="530">
        <f t="shared" si="77"/>
        <v>1632.9345215053761</v>
      </c>
      <c r="AK56" s="530">
        <f t="shared" si="77"/>
        <v>1632.9345215053761</v>
      </c>
      <c r="AL56" s="530">
        <f t="shared" si="77"/>
        <v>1632.9345215053761</v>
      </c>
      <c r="AM56" s="530">
        <f t="shared" si="77"/>
        <v>1632.9345215053761</v>
      </c>
      <c r="AN56" s="530">
        <f t="shared" si="77"/>
        <v>1632.9345215053761</v>
      </c>
      <c r="AO56" s="530">
        <f t="shared" si="77"/>
        <v>1632.9345215053761</v>
      </c>
      <c r="AP56" s="530">
        <f t="shared" si="77"/>
        <v>1632.9345215053761</v>
      </c>
      <c r="AQ56" s="530">
        <f t="shared" si="77"/>
        <v>1632.9345215053761</v>
      </c>
      <c r="AR56" s="530">
        <f t="shared" ref="AR56:AT56" si="78">$AI$54*AR12/$AI$10</f>
        <v>1632.9345215053761</v>
      </c>
      <c r="AS56" s="530">
        <f t="shared" si="78"/>
        <v>1632.9345215053761</v>
      </c>
      <c r="AT56" s="530">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1934.2740591397846</v>
      </c>
      <c r="AJ57" s="530">
        <f t="shared" si="80"/>
        <v>1934.2740591397846</v>
      </c>
      <c r="AK57" s="530">
        <f t="shared" si="80"/>
        <v>1934.2740591397846</v>
      </c>
      <c r="AL57" s="530">
        <f t="shared" si="80"/>
        <v>1934.2740591397846</v>
      </c>
      <c r="AM57" s="530">
        <f t="shared" si="80"/>
        <v>1934.2740591397846</v>
      </c>
      <c r="AN57" s="530">
        <f t="shared" si="80"/>
        <v>1934.2740591397846</v>
      </c>
      <c r="AO57" s="530">
        <f t="shared" si="80"/>
        <v>1934.2740591397846</v>
      </c>
      <c r="AP57" s="530">
        <f t="shared" si="80"/>
        <v>1934.2740591397846</v>
      </c>
      <c r="AQ57" s="530">
        <f t="shared" si="80"/>
        <v>1934.2740591397846</v>
      </c>
      <c r="AR57" s="530">
        <f t="shared" ref="AR57:AT57" si="81">$AI$54*AR13/$AI$10</f>
        <v>1934.2740591397846</v>
      </c>
      <c r="AS57" s="530">
        <f t="shared" si="81"/>
        <v>1934.2740591397846</v>
      </c>
      <c r="AT57" s="530">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2475.8707956989247</v>
      </c>
      <c r="AJ58" s="530">
        <f t="shared" si="82"/>
        <v>2475.8707956989247</v>
      </c>
      <c r="AK58" s="530">
        <f t="shared" si="82"/>
        <v>2475.8707956989247</v>
      </c>
      <c r="AL58" s="530">
        <f t="shared" si="82"/>
        <v>2475.8707956989247</v>
      </c>
      <c r="AM58" s="530">
        <f t="shared" si="82"/>
        <v>2475.8707956989247</v>
      </c>
      <c r="AN58" s="530">
        <f t="shared" si="82"/>
        <v>2475.8707956989247</v>
      </c>
      <c r="AO58" s="530">
        <f t="shared" si="82"/>
        <v>2475.8707956989247</v>
      </c>
      <c r="AP58" s="530">
        <f t="shared" si="82"/>
        <v>2475.8707956989247</v>
      </c>
      <c r="AQ58" s="530">
        <f t="shared" si="82"/>
        <v>2475.8707956989247</v>
      </c>
      <c r="AR58" s="530">
        <f t="shared" ref="AR58:AT58" si="83">$AI$54*AR14/$AI$10</f>
        <v>2475.8707956989247</v>
      </c>
      <c r="AS58" s="530">
        <f t="shared" si="83"/>
        <v>2475.8707956989247</v>
      </c>
      <c r="AT58" s="530">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2826.076204301075</v>
      </c>
      <c r="AJ59" s="530">
        <f t="shared" si="84"/>
        <v>2826.076204301075</v>
      </c>
      <c r="AK59" s="530">
        <f t="shared" si="84"/>
        <v>2826.076204301075</v>
      </c>
      <c r="AL59" s="530">
        <f t="shared" si="84"/>
        <v>2826.076204301075</v>
      </c>
      <c r="AM59" s="530">
        <f t="shared" si="84"/>
        <v>2826.076204301075</v>
      </c>
      <c r="AN59" s="530">
        <f t="shared" si="84"/>
        <v>2826.076204301075</v>
      </c>
      <c r="AO59" s="530">
        <f t="shared" si="84"/>
        <v>2826.076204301075</v>
      </c>
      <c r="AP59" s="530">
        <f t="shared" si="84"/>
        <v>2826.076204301075</v>
      </c>
      <c r="AQ59" s="530">
        <f t="shared" si="84"/>
        <v>2826.076204301075</v>
      </c>
      <c r="AR59" s="530">
        <f t="shared" ref="AR59:AT59" si="85">$AI$54*AR15/$AI$10</f>
        <v>2826.076204301075</v>
      </c>
      <c r="AS59" s="530">
        <f t="shared" si="85"/>
        <v>2826.076204301075</v>
      </c>
      <c r="AT59" s="530">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379.625</v>
      </c>
      <c r="AJ60" s="528" t="e">
        <f t="shared" si="95"/>
        <v>#DIV/0!</v>
      </c>
      <c r="AK60" s="528" t="e">
        <f t="shared" si="95"/>
        <v>#DIV/0!</v>
      </c>
      <c r="AL60" s="528">
        <f t="shared" si="95"/>
        <v>421.91199999999998</v>
      </c>
      <c r="AM60" s="528" t="e">
        <f t="shared" si="95"/>
        <v>#DIV/0!</v>
      </c>
      <c r="AN60" s="528" t="e">
        <f t="shared" si="95"/>
        <v>#DIV/0!</v>
      </c>
      <c r="AO60" s="528">
        <f t="shared" si="95"/>
        <v>398.84899999999999</v>
      </c>
      <c r="AP60" s="528" t="e">
        <f t="shared" si="95"/>
        <v>#DIV/0!</v>
      </c>
      <c r="AQ60" s="528" t="e">
        <f t="shared" si="95"/>
        <v>#DIV/0!</v>
      </c>
      <c r="AR60" s="528">
        <f t="shared" si="95"/>
        <v>398.84899999999999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649.66800000000001</v>
      </c>
      <c r="R61" s="535">
        <f t="shared" si="86"/>
        <v>0</v>
      </c>
      <c r="S61" s="535">
        <f t="shared" si="86"/>
        <v>0</v>
      </c>
      <c r="T61" s="535">
        <f t="shared" si="87"/>
        <v>1071.9521999999999</v>
      </c>
      <c r="U61" s="535">
        <f t="shared" si="87"/>
        <v>0</v>
      </c>
      <c r="V61" s="535">
        <f t="shared" si="87"/>
        <v>0</v>
      </c>
      <c r="W61" s="535">
        <f t="shared" si="88"/>
        <v>1105.6913999999999</v>
      </c>
      <c r="X61" s="535">
        <f t="shared" si="89"/>
        <v>0</v>
      </c>
      <c r="Y61" s="535">
        <f t="shared" si="90"/>
        <v>0</v>
      </c>
      <c r="Z61" s="535">
        <f t="shared" si="91"/>
        <v>1122.2639999999999</v>
      </c>
      <c r="AA61" s="535">
        <f t="shared" si="92"/>
        <v>0</v>
      </c>
      <c r="AB61" s="535">
        <f t="shared" si="93"/>
        <v>0</v>
      </c>
      <c r="AC61" s="535">
        <f t="shared" si="94"/>
        <v>643.17132000000004</v>
      </c>
      <c r="AD61" s="535">
        <f t="shared" si="94"/>
        <v>0</v>
      </c>
      <c r="AE61" s="535">
        <f t="shared" si="94"/>
        <v>0</v>
      </c>
      <c r="AF61" s="535">
        <f t="shared" si="94"/>
        <v>1061.2326779999999</v>
      </c>
      <c r="AG61" s="535">
        <f t="shared" si="94"/>
        <v>0</v>
      </c>
      <c r="AH61" s="535">
        <f t="shared" si="94"/>
        <v>0</v>
      </c>
      <c r="AI61" s="529">
        <f>ROUNDUP(SUM(H60:H66)/Cooling!AA8,3)</f>
        <v>759.25</v>
      </c>
      <c r="AJ61" s="529" t="e">
        <f>ROUNDUP(SUM(I60:I66)/Cooling!AB8,3)</f>
        <v>#DIV/0!</v>
      </c>
      <c r="AK61" s="529" t="e">
        <f>ROUNDUP(SUM(J60:J66)/Cooling!AC8,3)</f>
        <v>#DIV/0!</v>
      </c>
      <c r="AL61" s="529">
        <f>ROUNDUP(SUM(K60:K66)/Cooling!AA12,3)</f>
        <v>843.82399999999996</v>
      </c>
      <c r="AM61" s="529" t="e">
        <f>ROUNDUP(SUM(L60:L66)/Cooling!AB12,3)</f>
        <v>#DIV/0!</v>
      </c>
      <c r="AN61" s="529" t="e">
        <f>ROUNDUP(SUM(M60:M66)/Cooling!AC12,3)</f>
        <v>#DIV/0!</v>
      </c>
      <c r="AO61" s="529">
        <f>ROUNDUP(SUM(N60:N66)/Cooling!AA16,3)</f>
        <v>797.69799999999998</v>
      </c>
      <c r="AP61" s="529" t="e">
        <f>ROUNDUP(SUM(O60:O66)/Cooling!AB16,3)</f>
        <v>#DIV/0!</v>
      </c>
      <c r="AQ61" s="529" t="e">
        <f>ROUNDUP(SUM(P60:P66)/Cooling!AC16,3)</f>
        <v>#DIV/0!</v>
      </c>
      <c r="AR61" s="529">
        <f>AO61</f>
        <v>797.69799999999998</v>
      </c>
      <c r="AS61" s="529" t="e">
        <f>AP61</f>
        <v>#DIV/0!</v>
      </c>
      <c r="AT61" s="529"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1264.6809593023254</v>
      </c>
      <c r="AJ62" s="529" t="e">
        <f t="shared" si="99"/>
        <v>#DIV/0!</v>
      </c>
      <c r="AK62" s="529" t="e">
        <f t="shared" si="99"/>
        <v>#DIV/0!</v>
      </c>
      <c r="AL62" s="529">
        <f t="shared" si="99"/>
        <v>1306.9679593023254</v>
      </c>
      <c r="AM62" s="529" t="e">
        <f t="shared" si="99"/>
        <v>#DIV/0!</v>
      </c>
      <c r="AN62" s="529" t="e">
        <f t="shared" si="99"/>
        <v>#DIV/0!</v>
      </c>
      <c r="AO62" s="529">
        <f t="shared" si="99"/>
        <v>1283.9049593023256</v>
      </c>
      <c r="AP62" s="529" t="e">
        <f t="shared" si="99"/>
        <v>#DIV/0!</v>
      </c>
      <c r="AQ62" s="529" t="e">
        <f t="shared" si="99"/>
        <v>#DIV/0!</v>
      </c>
      <c r="AR62" s="529">
        <f t="shared" ref="AR62:AT62" si="100">AR61/2+AR63/2</f>
        <v>1283.9049593023256</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1770.111918604651</v>
      </c>
      <c r="AJ63" s="530">
        <f t="shared" si="101"/>
        <v>1770.111918604651</v>
      </c>
      <c r="AK63" s="530">
        <f t="shared" si="101"/>
        <v>1770.111918604651</v>
      </c>
      <c r="AL63" s="530">
        <f t="shared" si="101"/>
        <v>1770.111918604651</v>
      </c>
      <c r="AM63" s="530">
        <f t="shared" si="101"/>
        <v>1770.111918604651</v>
      </c>
      <c r="AN63" s="530">
        <f t="shared" si="101"/>
        <v>1770.111918604651</v>
      </c>
      <c r="AO63" s="530">
        <f t="shared" si="101"/>
        <v>1770.111918604651</v>
      </c>
      <c r="AP63" s="530">
        <f t="shared" si="101"/>
        <v>1770.111918604651</v>
      </c>
      <c r="AQ63" s="530">
        <f t="shared" si="101"/>
        <v>1770.111918604651</v>
      </c>
      <c r="AR63" s="530">
        <f t="shared" ref="AR63:AT63" si="102">$AI$61*AR19/$AI$17</f>
        <v>1770.111918604651</v>
      </c>
      <c r="AS63" s="530">
        <f t="shared" si="102"/>
        <v>1770.111918604651</v>
      </c>
      <c r="AT63" s="530">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0"/>
      <c r="BM63" s="650"/>
      <c r="BN63" s="650"/>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2096.765988372093</v>
      </c>
      <c r="AJ64" s="530">
        <f t="shared" si="103"/>
        <v>2096.765988372093</v>
      </c>
      <c r="AK64" s="530">
        <f t="shared" si="103"/>
        <v>2096.765988372093</v>
      </c>
      <c r="AL64" s="530">
        <f t="shared" si="103"/>
        <v>2096.765988372093</v>
      </c>
      <c r="AM64" s="530">
        <f t="shared" si="103"/>
        <v>2096.765988372093</v>
      </c>
      <c r="AN64" s="530">
        <f t="shared" si="103"/>
        <v>2096.765988372093</v>
      </c>
      <c r="AO64" s="530">
        <f t="shared" si="103"/>
        <v>2096.765988372093</v>
      </c>
      <c r="AP64" s="530">
        <f t="shared" si="103"/>
        <v>2096.765988372093</v>
      </c>
      <c r="AQ64" s="530">
        <f t="shared" si="103"/>
        <v>2096.765988372093</v>
      </c>
      <c r="AR64" s="530">
        <f t="shared" ref="AR64:AT64" si="104">$AI$61*AR20/$AI$17</f>
        <v>2096.765988372093</v>
      </c>
      <c r="AS64" s="530">
        <f t="shared" si="104"/>
        <v>2096.765988372093</v>
      </c>
      <c r="AT64" s="530">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2683.8604651162791</v>
      </c>
      <c r="AJ65" s="530">
        <f t="shared" si="105"/>
        <v>2683.8604651162791</v>
      </c>
      <c r="AK65" s="530">
        <f t="shared" si="105"/>
        <v>2683.8604651162791</v>
      </c>
      <c r="AL65" s="530">
        <f t="shared" si="105"/>
        <v>2683.8604651162791</v>
      </c>
      <c r="AM65" s="530">
        <f t="shared" si="105"/>
        <v>2683.8604651162791</v>
      </c>
      <c r="AN65" s="530">
        <f t="shared" si="105"/>
        <v>2683.8604651162791</v>
      </c>
      <c r="AO65" s="530">
        <f t="shared" si="105"/>
        <v>2683.8604651162791</v>
      </c>
      <c r="AP65" s="530">
        <f t="shared" si="105"/>
        <v>2683.8604651162791</v>
      </c>
      <c r="AQ65" s="530">
        <f t="shared" si="105"/>
        <v>2683.8604651162791</v>
      </c>
      <c r="AR65" s="530">
        <f t="shared" ref="AR65:AT65" si="106">$AI$61*AR21/$AI$17</f>
        <v>2683.8604651162791</v>
      </c>
      <c r="AS65" s="530">
        <f t="shared" si="106"/>
        <v>2683.8604651162791</v>
      </c>
      <c r="AT65" s="530">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3063.4854651162796</v>
      </c>
      <c r="AJ66" s="530">
        <f t="shared" si="107"/>
        <v>3063.4854651162796</v>
      </c>
      <c r="AK66" s="530">
        <f t="shared" si="107"/>
        <v>3063.4854651162796</v>
      </c>
      <c r="AL66" s="530">
        <f t="shared" si="107"/>
        <v>3063.4854651162796</v>
      </c>
      <c r="AM66" s="530">
        <f t="shared" si="107"/>
        <v>3063.4854651162796</v>
      </c>
      <c r="AN66" s="530">
        <f t="shared" si="107"/>
        <v>3063.4854651162796</v>
      </c>
      <c r="AO66" s="530">
        <f t="shared" si="107"/>
        <v>3063.4854651162796</v>
      </c>
      <c r="AP66" s="530">
        <f t="shared" si="107"/>
        <v>3063.4854651162796</v>
      </c>
      <c r="AQ66" s="530">
        <f t="shared" si="107"/>
        <v>3063.4854651162796</v>
      </c>
      <c r="AR66" s="530">
        <f t="shared" ref="AR66:AT66" si="108">$AI$61*AR22/$AI$17</f>
        <v>3063.4854651162796</v>
      </c>
      <c r="AS66" s="530">
        <f t="shared" si="108"/>
        <v>3063.4854651162796</v>
      </c>
      <c r="AT66" s="530">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451.57049999999998</v>
      </c>
      <c r="AJ67" s="528" t="e">
        <f t="shared" si="118"/>
        <v>#DIV/0!</v>
      </c>
      <c r="AK67" s="528" t="e">
        <f t="shared" si="118"/>
        <v>#DIV/0!</v>
      </c>
      <c r="AL67" s="528">
        <f t="shared" si="118"/>
        <v>501.87200000000001</v>
      </c>
      <c r="AM67" s="528" t="e">
        <f t="shared" si="118"/>
        <v>#DIV/0!</v>
      </c>
      <c r="AN67" s="528" t="e">
        <f t="shared" si="118"/>
        <v>#DIV/0!</v>
      </c>
      <c r="AO67" s="528">
        <f t="shared" si="118"/>
        <v>474.43899999999996</v>
      </c>
      <c r="AP67" s="528" t="e">
        <f t="shared" si="118"/>
        <v>#DIV/0!</v>
      </c>
      <c r="AQ67" s="528" t="e">
        <f t="shared" si="118"/>
        <v>#DIV/0!</v>
      </c>
      <c r="AR67" s="528">
        <f t="shared" si="118"/>
        <v>474.43899999999996</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598.36799999999994</v>
      </c>
      <c r="R68" s="535">
        <f t="shared" si="109"/>
        <v>0</v>
      </c>
      <c r="S68" s="535">
        <f t="shared" si="109"/>
        <v>0</v>
      </c>
      <c r="T68" s="535">
        <f t="shared" si="110"/>
        <v>987.30719999999997</v>
      </c>
      <c r="U68" s="535">
        <f t="shared" si="110"/>
        <v>0</v>
      </c>
      <c r="V68" s="535">
        <f t="shared" si="110"/>
        <v>0</v>
      </c>
      <c r="W68" s="535">
        <f t="shared" si="111"/>
        <v>1018.3833000000001</v>
      </c>
      <c r="X68" s="535">
        <f t="shared" si="112"/>
        <v>0</v>
      </c>
      <c r="Y68" s="535">
        <f t="shared" si="113"/>
        <v>0</v>
      </c>
      <c r="Z68" s="535">
        <f t="shared" si="114"/>
        <v>1033.6490999999999</v>
      </c>
      <c r="AA68" s="535">
        <f t="shared" si="115"/>
        <v>0</v>
      </c>
      <c r="AB68" s="535">
        <f t="shared" si="116"/>
        <v>0</v>
      </c>
      <c r="AC68" s="535">
        <f t="shared" si="117"/>
        <v>592.38431999999989</v>
      </c>
      <c r="AD68" s="535">
        <f t="shared" si="117"/>
        <v>0</v>
      </c>
      <c r="AE68" s="535">
        <f t="shared" si="117"/>
        <v>0</v>
      </c>
      <c r="AF68" s="535">
        <f t="shared" si="117"/>
        <v>977.43412799999999</v>
      </c>
      <c r="AG68" s="535">
        <f t="shared" si="117"/>
        <v>0</v>
      </c>
      <c r="AH68" s="535">
        <f t="shared" si="117"/>
        <v>0</v>
      </c>
      <c r="AI68" s="529">
        <f>ROUNDUP(SUM(H67:H73)/Cooling!AA9,3)</f>
        <v>903.14099999999996</v>
      </c>
      <c r="AJ68" s="529" t="e">
        <f>ROUNDUP(SUM(I67:I73)/Cooling!AB9,3)</f>
        <v>#DIV/0!</v>
      </c>
      <c r="AK68" s="529" t="e">
        <f>ROUNDUP(SUM(J67:J73)/Cooling!AC9,3)</f>
        <v>#DIV/0!</v>
      </c>
      <c r="AL68" s="529">
        <f>ROUNDUP(SUM(K67:K73)/Cooling!AA13,3)</f>
        <v>1003.744</v>
      </c>
      <c r="AM68" s="529" t="e">
        <f>ROUNDUP(SUM(L67:L73)/Cooling!AB13,3)</f>
        <v>#DIV/0!</v>
      </c>
      <c r="AN68" s="529" t="e">
        <f>ROUNDUP(SUM(M67:M73)/Cooling!AC13,3)</f>
        <v>#DIV/0!</v>
      </c>
      <c r="AO68" s="529">
        <f>ROUNDUP(SUM(N67:N73)/Cooling!AA17,3)</f>
        <v>948.87799999999993</v>
      </c>
      <c r="AP68" s="529" t="e">
        <f>ROUNDUP(SUM(O67:O73)/Cooling!AB17,3)</f>
        <v>#DIV/0!</v>
      </c>
      <c r="AQ68" s="529" t="e">
        <f>ROUNDUP(SUM(P67:P73)/Cooling!AC17,3)</f>
        <v>#DIV/0!</v>
      </c>
      <c r="AR68" s="529">
        <f>AO68</f>
        <v>948.87799999999993</v>
      </c>
      <c r="AS68" s="529" t="e">
        <f>AP68</f>
        <v>#DIV/0!</v>
      </c>
      <c r="AT68" s="529"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1090.2783243243243</v>
      </c>
      <c r="AJ69" s="529" t="e">
        <f t="shared" si="119"/>
        <v>#DIV/0!</v>
      </c>
      <c r="AK69" s="529" t="e">
        <f t="shared" si="119"/>
        <v>#DIV/0!</v>
      </c>
      <c r="AL69" s="529">
        <f t="shared" si="119"/>
        <v>1140.5798243243244</v>
      </c>
      <c r="AM69" s="529" t="e">
        <f t="shared" si="119"/>
        <v>#DIV/0!</v>
      </c>
      <c r="AN69" s="529" t="e">
        <f t="shared" si="119"/>
        <v>#DIV/0!</v>
      </c>
      <c r="AO69" s="529">
        <f t="shared" si="119"/>
        <v>1113.1468243243244</v>
      </c>
      <c r="AP69" s="529" t="e">
        <f t="shared" si="119"/>
        <v>#DIV/0!</v>
      </c>
      <c r="AQ69" s="529" t="e">
        <f t="shared" si="119"/>
        <v>#DIV/0!</v>
      </c>
      <c r="AR69" s="529">
        <f t="shared" ref="AR69:AT69" si="120">AR68/2+AR70/2</f>
        <v>1113.1468243243244</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1277.4156486486488</v>
      </c>
      <c r="AJ70" s="530">
        <f t="shared" si="121"/>
        <v>1277.4156486486488</v>
      </c>
      <c r="AK70" s="530">
        <f t="shared" si="121"/>
        <v>1277.4156486486488</v>
      </c>
      <c r="AL70" s="530">
        <f t="shared" si="121"/>
        <v>1277.4156486486488</v>
      </c>
      <c r="AM70" s="530">
        <f t="shared" si="121"/>
        <v>1277.4156486486488</v>
      </c>
      <c r="AN70" s="530">
        <f t="shared" si="121"/>
        <v>1277.4156486486488</v>
      </c>
      <c r="AO70" s="530">
        <f t="shared" si="121"/>
        <v>1277.4156486486488</v>
      </c>
      <c r="AP70" s="530">
        <f t="shared" si="121"/>
        <v>1277.4156486486488</v>
      </c>
      <c r="AQ70" s="530">
        <f t="shared" si="121"/>
        <v>1277.4156486486488</v>
      </c>
      <c r="AR70" s="530">
        <f t="shared" ref="AR70:AT70" si="122">$AI$68*AR26/$AI$24</f>
        <v>1277.4156486486488</v>
      </c>
      <c r="AS70" s="530">
        <f t="shared" si="122"/>
        <v>1277.4156486486488</v>
      </c>
      <c r="AT70" s="530">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1501.1667972972973</v>
      </c>
      <c r="AJ71" s="530">
        <f t="shared" si="124"/>
        <v>1501.1667972972973</v>
      </c>
      <c r="AK71" s="530">
        <f t="shared" si="124"/>
        <v>1501.1667972972973</v>
      </c>
      <c r="AL71" s="530">
        <f t="shared" si="124"/>
        <v>1501.1667972972973</v>
      </c>
      <c r="AM71" s="530">
        <f t="shared" si="124"/>
        <v>1501.1667972972973</v>
      </c>
      <c r="AN71" s="530">
        <f t="shared" si="124"/>
        <v>1501.1667972972973</v>
      </c>
      <c r="AO71" s="530">
        <f t="shared" si="124"/>
        <v>1501.1667972972973</v>
      </c>
      <c r="AP71" s="530">
        <f t="shared" si="124"/>
        <v>1501.1667972972973</v>
      </c>
      <c r="AQ71" s="530">
        <f t="shared" si="124"/>
        <v>1501.1667972972973</v>
      </c>
      <c r="AR71" s="530">
        <f t="shared" ref="AR71:AT71" si="125">$AI$68*AR27/$AI$24</f>
        <v>1501.1667972972973</v>
      </c>
      <c r="AS71" s="530">
        <f t="shared" si="125"/>
        <v>1501.1667972972973</v>
      </c>
      <c r="AT71" s="530">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2473.4672432432435</v>
      </c>
      <c r="AJ72" s="530">
        <f t="shared" si="126"/>
        <v>2473.4672432432435</v>
      </c>
      <c r="AK72" s="530">
        <f t="shared" si="126"/>
        <v>2473.4672432432435</v>
      </c>
      <c r="AL72" s="530">
        <f t="shared" si="126"/>
        <v>2473.4672432432435</v>
      </c>
      <c r="AM72" s="530">
        <f t="shared" si="126"/>
        <v>2473.4672432432435</v>
      </c>
      <c r="AN72" s="530">
        <f t="shared" si="126"/>
        <v>2473.4672432432435</v>
      </c>
      <c r="AO72" s="530">
        <f t="shared" si="126"/>
        <v>2473.4672432432435</v>
      </c>
      <c r="AP72" s="530">
        <f t="shared" si="126"/>
        <v>2473.4672432432435</v>
      </c>
      <c r="AQ72" s="530">
        <f t="shared" si="126"/>
        <v>2473.4672432432435</v>
      </c>
      <c r="AR72" s="530">
        <f t="shared" ref="AR72:AT72" si="127">$AI$68*AR28/$AI$24</f>
        <v>2473.4672432432435</v>
      </c>
      <c r="AS72" s="530">
        <f t="shared" si="127"/>
        <v>2473.4672432432435</v>
      </c>
      <c r="AT72" s="530">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2823.332675675676</v>
      </c>
      <c r="AJ73" s="530">
        <f t="shared" si="128"/>
        <v>2823.332675675676</v>
      </c>
      <c r="AK73" s="530">
        <f t="shared" si="128"/>
        <v>2823.332675675676</v>
      </c>
      <c r="AL73" s="530">
        <f t="shared" si="128"/>
        <v>2823.332675675676</v>
      </c>
      <c r="AM73" s="530">
        <f t="shared" si="128"/>
        <v>2823.332675675676</v>
      </c>
      <c r="AN73" s="530">
        <f t="shared" si="128"/>
        <v>2823.332675675676</v>
      </c>
      <c r="AO73" s="530">
        <f t="shared" si="128"/>
        <v>2823.332675675676</v>
      </c>
      <c r="AP73" s="530">
        <f t="shared" si="128"/>
        <v>2823.332675675676</v>
      </c>
      <c r="AQ73" s="530">
        <f t="shared" si="128"/>
        <v>2823.332675675676</v>
      </c>
      <c r="AR73" s="530">
        <f t="shared" ref="AR73:AT73" si="129">$AI$68*AR29/$AI$24</f>
        <v>2823.332675675676</v>
      </c>
      <c r="AS73" s="530">
        <f t="shared" si="129"/>
        <v>2823.332675675676</v>
      </c>
      <c r="AT73" s="530">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445.69049999999999</v>
      </c>
      <c r="AJ74" s="528" t="e">
        <f t="shared" si="139"/>
        <v>#DIV/0!</v>
      </c>
      <c r="AK74" s="528" t="e">
        <f t="shared" si="139"/>
        <v>#DIV/0!</v>
      </c>
      <c r="AL74" s="528">
        <f t="shared" si="139"/>
        <v>495.37200000000001</v>
      </c>
      <c r="AM74" s="528" t="e">
        <f t="shared" si="139"/>
        <v>#DIV/0!</v>
      </c>
      <c r="AN74" s="528" t="e">
        <f t="shared" si="139"/>
        <v>#DIV/0!</v>
      </c>
      <c r="AO74" s="528">
        <f t="shared" si="139"/>
        <v>468.27249999999998</v>
      </c>
      <c r="AP74" s="528" t="e">
        <f t="shared" si="139"/>
        <v>#DIV/0!</v>
      </c>
      <c r="AQ74" s="528" t="e">
        <f t="shared" si="139"/>
        <v>#DIV/0!</v>
      </c>
      <c r="AR74" s="528">
        <f t="shared" si="139"/>
        <v>468.27249999999998</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33.473999999999997</v>
      </c>
      <c r="R75" s="535">
        <f t="shared" si="130"/>
        <v>0</v>
      </c>
      <c r="S75" s="535">
        <f t="shared" si="130"/>
        <v>0</v>
      </c>
      <c r="T75" s="535">
        <f t="shared" si="131"/>
        <v>55.232099999999996</v>
      </c>
      <c r="U75" s="535">
        <f t="shared" si="131"/>
        <v>0</v>
      </c>
      <c r="V75" s="535">
        <f t="shared" si="131"/>
        <v>0</v>
      </c>
      <c r="W75" s="535">
        <f t="shared" si="132"/>
        <v>56.974499999999999</v>
      </c>
      <c r="X75" s="535">
        <f t="shared" si="133"/>
        <v>0</v>
      </c>
      <c r="Y75" s="535">
        <f t="shared" si="134"/>
        <v>0</v>
      </c>
      <c r="Z75" s="535">
        <f t="shared" si="135"/>
        <v>57.825899999999997</v>
      </c>
      <c r="AA75" s="535">
        <f t="shared" si="136"/>
        <v>0</v>
      </c>
      <c r="AB75" s="535">
        <f t="shared" si="137"/>
        <v>0</v>
      </c>
      <c r="AC75" s="535">
        <f t="shared" si="138"/>
        <v>33.139259999999993</v>
      </c>
      <c r="AD75" s="535">
        <f t="shared" si="138"/>
        <v>0</v>
      </c>
      <c r="AE75" s="535">
        <f t="shared" si="138"/>
        <v>0</v>
      </c>
      <c r="AF75" s="535">
        <f t="shared" si="138"/>
        <v>54.679778999999996</v>
      </c>
      <c r="AG75" s="535">
        <f t="shared" si="138"/>
        <v>0</v>
      </c>
      <c r="AH75" s="535">
        <f t="shared" si="138"/>
        <v>0</v>
      </c>
      <c r="AI75" s="529">
        <f>ROUNDUP(SUM(H74:H80)/Cooling!AA10,3)</f>
        <v>891.38099999999997</v>
      </c>
      <c r="AJ75" s="529" t="e">
        <f>ROUNDUP(SUM(I74:I80)/Cooling!AB10,3)</f>
        <v>#DIV/0!</v>
      </c>
      <c r="AK75" s="529" t="e">
        <f>ROUNDUP(SUM(J74:J80)/Cooling!AC10,3)</f>
        <v>#DIV/0!</v>
      </c>
      <c r="AL75" s="529">
        <f>ROUNDUP(SUM(K74:K80)/Cooling!AA14,3)</f>
        <v>990.74400000000003</v>
      </c>
      <c r="AM75" s="529" t="e">
        <f>ROUNDUP(SUM(L74:L80)/Cooling!AB14,3)</f>
        <v>#DIV/0!</v>
      </c>
      <c r="AN75" s="529" t="e">
        <f>ROUNDUP(SUM(M74:M80)/Cooling!AC14,3)</f>
        <v>#DIV/0!</v>
      </c>
      <c r="AO75" s="529">
        <f>ROUNDUP(SUM(N74:N80)/Cooling!AA18,3)</f>
        <v>936.54499999999996</v>
      </c>
      <c r="AP75" s="529" t="e">
        <f>ROUNDUP(SUM(O74:O80)/Cooling!AB18,3)</f>
        <v>#DIV/0!</v>
      </c>
      <c r="AQ75" s="529" t="e">
        <f>ROUNDUP(SUM(P74:P80)/Cooling!AC18,3)</f>
        <v>#DIV/0!</v>
      </c>
      <c r="AR75" s="529">
        <f>AO75</f>
        <v>936.54499999999996</v>
      </c>
      <c r="AS75" s="529" t="e">
        <f>AP75</f>
        <v>#DIV/0!</v>
      </c>
      <c r="AT75" s="529"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1138.4965247524754</v>
      </c>
      <c r="AJ76" s="529" t="e">
        <f t="shared" si="141"/>
        <v>#DIV/0!</v>
      </c>
      <c r="AK76" s="529" t="e">
        <f t="shared" si="141"/>
        <v>#DIV/0!</v>
      </c>
      <c r="AL76" s="529">
        <f t="shared" si="141"/>
        <v>1188.1780247524755</v>
      </c>
      <c r="AM76" s="529" t="e">
        <f t="shared" si="141"/>
        <v>#DIV/0!</v>
      </c>
      <c r="AN76" s="529" t="e">
        <f t="shared" si="141"/>
        <v>#DIV/0!</v>
      </c>
      <c r="AO76" s="529">
        <f t="shared" si="141"/>
        <v>1161.0785247524755</v>
      </c>
      <c r="AP76" s="529" t="e">
        <f t="shared" si="141"/>
        <v>#DIV/0!</v>
      </c>
      <c r="AQ76" s="529" t="e">
        <f t="shared" si="141"/>
        <v>#DIV/0!</v>
      </c>
      <c r="AR76" s="529">
        <f t="shared" ref="AR76:AT76" si="142">AR75/2+AR77/2</f>
        <v>1161.0785247524755</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1385.6120495049508</v>
      </c>
      <c r="AJ77" s="530">
        <f t="shared" si="143"/>
        <v>1385.6120495049508</v>
      </c>
      <c r="AK77" s="530">
        <f t="shared" si="143"/>
        <v>1385.6120495049508</v>
      </c>
      <c r="AL77" s="530">
        <f t="shared" si="143"/>
        <v>1385.6120495049508</v>
      </c>
      <c r="AM77" s="530">
        <f t="shared" si="143"/>
        <v>1385.6120495049508</v>
      </c>
      <c r="AN77" s="530">
        <f t="shared" si="143"/>
        <v>1385.6120495049508</v>
      </c>
      <c r="AO77" s="530">
        <f t="shared" si="143"/>
        <v>1385.6120495049508</v>
      </c>
      <c r="AP77" s="530">
        <f t="shared" si="143"/>
        <v>1385.6120495049508</v>
      </c>
      <c r="AQ77" s="530">
        <f t="shared" si="143"/>
        <v>1385.6120495049508</v>
      </c>
      <c r="AR77" s="530">
        <f t="shared" ref="AR77:AT77" si="144">$AI$75*AR33/$AI$31</f>
        <v>1385.6120495049508</v>
      </c>
      <c r="AS77" s="530">
        <f t="shared" si="144"/>
        <v>1385.6120495049508</v>
      </c>
      <c r="AT77" s="530">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1628.3147970297032</v>
      </c>
      <c r="AJ78" s="530">
        <f t="shared" si="145"/>
        <v>1628.3147970297032</v>
      </c>
      <c r="AK78" s="530">
        <f t="shared" si="145"/>
        <v>1628.3147970297032</v>
      </c>
      <c r="AL78" s="530">
        <f t="shared" si="145"/>
        <v>1628.3147970297032</v>
      </c>
      <c r="AM78" s="530">
        <f t="shared" si="145"/>
        <v>1628.3147970297032</v>
      </c>
      <c r="AN78" s="530">
        <f t="shared" si="145"/>
        <v>1628.3147970297032</v>
      </c>
      <c r="AO78" s="530">
        <f t="shared" si="145"/>
        <v>1628.3147970297032</v>
      </c>
      <c r="AP78" s="530">
        <f t="shared" si="145"/>
        <v>1628.3147970297032</v>
      </c>
      <c r="AQ78" s="530">
        <f t="shared" si="145"/>
        <v>1628.3147970297032</v>
      </c>
      <c r="AR78" s="530">
        <f t="shared" ref="AR78:AT78" si="146">$AI$75*AR34/$AI$31</f>
        <v>1628.3147970297032</v>
      </c>
      <c r="AS78" s="530">
        <f t="shared" si="146"/>
        <v>1628.3147970297032</v>
      </c>
      <c r="AT78" s="530">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2682.9685544554463</v>
      </c>
      <c r="AJ79" s="530">
        <f t="shared" si="147"/>
        <v>2682.9685544554463</v>
      </c>
      <c r="AK79" s="530">
        <f t="shared" si="147"/>
        <v>2682.9685544554463</v>
      </c>
      <c r="AL79" s="530">
        <f t="shared" si="147"/>
        <v>2682.9685544554463</v>
      </c>
      <c r="AM79" s="530">
        <f t="shared" si="147"/>
        <v>2682.9685544554463</v>
      </c>
      <c r="AN79" s="530">
        <f t="shared" si="147"/>
        <v>2682.9685544554463</v>
      </c>
      <c r="AO79" s="530">
        <f t="shared" si="147"/>
        <v>2682.9685544554463</v>
      </c>
      <c r="AP79" s="530">
        <f t="shared" si="147"/>
        <v>2682.9685544554463</v>
      </c>
      <c r="AQ79" s="530">
        <f t="shared" si="147"/>
        <v>2682.9685544554463</v>
      </c>
      <c r="AR79" s="530">
        <f t="shared" ref="AR79:AT79" si="148">$AI$75*AR35/$AI$31</f>
        <v>2682.9685544554463</v>
      </c>
      <c r="AS79" s="530">
        <f t="shared" si="148"/>
        <v>2682.9685544554463</v>
      </c>
      <c r="AT79" s="530">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3062.4673960396049</v>
      </c>
      <c r="AJ80" s="530">
        <f t="shared" si="149"/>
        <v>3062.4673960396049</v>
      </c>
      <c r="AK80" s="530">
        <f t="shared" si="149"/>
        <v>3062.4673960396049</v>
      </c>
      <c r="AL80" s="530">
        <f t="shared" si="149"/>
        <v>3062.4673960396049</v>
      </c>
      <c r="AM80" s="530">
        <f t="shared" si="149"/>
        <v>3062.4673960396049</v>
      </c>
      <c r="AN80" s="530">
        <f t="shared" si="149"/>
        <v>3062.4673960396049</v>
      </c>
      <c r="AO80" s="530">
        <f t="shared" si="149"/>
        <v>3062.4673960396049</v>
      </c>
      <c r="AP80" s="530">
        <f t="shared" si="149"/>
        <v>3062.4673960396049</v>
      </c>
      <c r="AQ80" s="530">
        <f t="shared" si="149"/>
        <v>3062.4673960396049</v>
      </c>
      <c r="AR80" s="530">
        <f t="shared" ref="AR80:AT80" si="150">$AI$75*AR36/$AI$31</f>
        <v>3062.4673960396049</v>
      </c>
      <c r="AS80" s="530">
        <f t="shared" si="150"/>
        <v>3062.4673960396049</v>
      </c>
      <c r="AT80" s="530">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J1" zoomScale="90" zoomScaleNormal="90" workbookViewId="0">
      <selection activeCell="S19" sqref="S1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286</v>
      </c>
      <c r="C2" s="227"/>
      <c r="D2" s="228"/>
      <c r="E2" s="229" t="s">
        <v>181</v>
      </c>
      <c r="F2" s="229"/>
      <c r="G2" s="271">
        <v>1.02</v>
      </c>
      <c r="H2" s="271"/>
      <c r="I2" s="271"/>
      <c r="J2" s="230"/>
      <c r="K2" s="230"/>
      <c r="L2" s="645" t="s">
        <v>936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937</v>
      </c>
      <c r="W4" s="439" t="s">
        <v>237</v>
      </c>
      <c r="X4" s="440" t="s">
        <v>238</v>
      </c>
      <c r="Y4" s="438" t="s">
        <v>937</v>
      </c>
      <c r="Z4" s="439" t="s">
        <v>237</v>
      </c>
      <c r="AA4" s="440" t="s">
        <v>238</v>
      </c>
    </row>
    <row r="5" spans="2:31" ht="26">
      <c r="B5" s="238" t="s">
        <v>2</v>
      </c>
      <c r="C5" s="238" t="s">
        <v>26</v>
      </c>
      <c r="D5" s="238" t="s">
        <v>14</v>
      </c>
      <c r="E5" s="238" t="s">
        <v>15</v>
      </c>
      <c r="F5" s="422" t="s">
        <v>108</v>
      </c>
      <c r="G5" s="239" t="s">
        <v>938</v>
      </c>
      <c r="H5" s="239" t="s">
        <v>749</v>
      </c>
      <c r="I5" s="239" t="s">
        <v>750</v>
      </c>
      <c r="J5" s="240" t="s">
        <v>939</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5"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2">
        <v>0.95</v>
      </c>
      <c r="K9" s="642">
        <v>0.95</v>
      </c>
      <c r="L9" s="642">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4">
        <v>0.25600000000000001</v>
      </c>
      <c r="K10" s="644">
        <v>0.25600000000000001</v>
      </c>
      <c r="L10" s="644">
        <v>0.25600000000000001</v>
      </c>
      <c r="M10" s="244">
        <f t="shared" si="2"/>
        <v>3.1536000000000002E-2</v>
      </c>
      <c r="N10" s="460">
        <v>1</v>
      </c>
      <c r="O10" s="245">
        <v>30</v>
      </c>
      <c r="P10" s="227"/>
      <c r="Q10" s="268"/>
      <c r="R10" s="268" t="str">
        <f>R9</f>
        <v>Cooking</v>
      </c>
      <c r="S10" s="591"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2">
        <f t="shared" ref="J11:L13" si="15">J7</f>
        <v>0.5</v>
      </c>
      <c r="K11" s="642">
        <f t="shared" si="15"/>
        <v>0.5</v>
      </c>
      <c r="L11" s="642">
        <f t="shared" si="15"/>
        <v>0.5</v>
      </c>
      <c r="M11" s="244">
        <f t="shared" si="2"/>
        <v>3.1536000000000002E-2</v>
      </c>
      <c r="N11" s="460">
        <v>0.8</v>
      </c>
      <c r="O11" s="245">
        <v>30</v>
      </c>
      <c r="P11" s="227"/>
      <c r="Q11" s="227"/>
      <c r="R11" s="268" t="str">
        <f>R7</f>
        <v>Cooking</v>
      </c>
      <c r="S11" s="605"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2">
        <f t="shared" si="15"/>
        <v>0.5</v>
      </c>
      <c r="K12" s="642">
        <f t="shared" si="15"/>
        <v>0.5</v>
      </c>
      <c r="L12" s="642">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2">
        <f t="shared" si="15"/>
        <v>0.95</v>
      </c>
      <c r="K13" s="642">
        <f t="shared" si="15"/>
        <v>0.95</v>
      </c>
      <c r="L13" s="642">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4">
        <v>0.25600000000000001</v>
      </c>
      <c r="K14" s="644">
        <v>0.25600000000000001</v>
      </c>
      <c r="L14" s="644">
        <v>0.25600000000000001</v>
      </c>
      <c r="M14" s="244">
        <f t="shared" si="2"/>
        <v>3.1536000000000002E-2</v>
      </c>
      <c r="N14" s="460">
        <v>1</v>
      </c>
      <c r="O14" s="245">
        <v>30</v>
      </c>
      <c r="P14" s="227"/>
      <c r="Q14" s="268"/>
      <c r="R14" s="268" t="str">
        <f>R13</f>
        <v>Cooking</v>
      </c>
      <c r="S14" s="591"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2">
        <f t="shared" si="19"/>
        <v>0</v>
      </c>
      <c r="AA14" s="446">
        <f>X14*L14</f>
        <v>0</v>
      </c>
      <c r="AC14" s="570"/>
      <c r="AD14" s="571"/>
      <c r="AE14" s="571"/>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2">
        <f t="shared" ref="J15:L17" si="27">J7</f>
        <v>0.5</v>
      </c>
      <c r="K15" s="642">
        <f t="shared" si="27"/>
        <v>0.5</v>
      </c>
      <c r="L15" s="642">
        <f t="shared" si="27"/>
        <v>0.5</v>
      </c>
      <c r="M15" s="244">
        <f t="shared" si="2"/>
        <v>3.1536000000000002E-2</v>
      </c>
      <c r="N15" s="460">
        <v>1</v>
      </c>
      <c r="O15" s="245">
        <v>30</v>
      </c>
      <c r="P15" s="227"/>
      <c r="Q15" s="227"/>
      <c r="R15" s="268" t="str">
        <f>R8</f>
        <v>Cooking</v>
      </c>
      <c r="S15" s="605"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2">
        <f t="shared" si="27"/>
        <v>0.5</v>
      </c>
      <c r="K16" s="642">
        <f t="shared" si="27"/>
        <v>0.5</v>
      </c>
      <c r="L16" s="642">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70"/>
      <c r="AD16" s="570"/>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2">
        <f t="shared" si="27"/>
        <v>0.95</v>
      </c>
      <c r="K17" s="642">
        <f t="shared" si="27"/>
        <v>0.95</v>
      </c>
      <c r="L17" s="642">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4">
        <v>0.25600000000000001</v>
      </c>
      <c r="K18" s="644">
        <v>0.25600000000000001</v>
      </c>
      <c r="L18" s="644">
        <v>0.25600000000000001</v>
      </c>
      <c r="M18" s="244">
        <f t="shared" si="2"/>
        <v>3.1536000000000002E-2</v>
      </c>
      <c r="N18" s="460">
        <v>1</v>
      </c>
      <c r="O18" s="245">
        <v>30</v>
      </c>
      <c r="P18" s="227"/>
      <c r="Q18" s="268"/>
      <c r="R18" s="268" t="str">
        <f>R17</f>
        <v>Cooking</v>
      </c>
      <c r="S18" s="591"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2">
        <f t="shared" si="31"/>
        <v>0</v>
      </c>
      <c r="AA18" s="446">
        <f>X18*L18</f>
        <v>0</v>
      </c>
      <c r="AC18" s="570"/>
      <c r="AD18" s="571"/>
      <c r="AE18" s="571"/>
    </row>
    <row r="19" spans="2:31" ht="14.5">
      <c r="B19" s="233" t="str">
        <f t="shared" ref="B19:E21" si="35">B15</f>
        <v>RFTLPGE1</v>
      </c>
      <c r="C19" s="233" t="str">
        <f t="shared" si="35"/>
        <v>Residential Food (Cooking) Technology   - LPG - Existing 1</v>
      </c>
      <c r="D19" s="233" t="str">
        <f t="shared" si="35"/>
        <v>RESLPG</v>
      </c>
      <c r="E19" s="233" t="str">
        <f t="shared" si="35"/>
        <v>RFDEM</v>
      </c>
      <c r="F19" s="575">
        <f>F15+O19</f>
        <v>2048</v>
      </c>
      <c r="G19" s="250">
        <v>0</v>
      </c>
      <c r="H19" s="250">
        <v>0</v>
      </c>
      <c r="I19" s="250">
        <v>0</v>
      </c>
      <c r="J19" s="642">
        <f t="shared" ref="J19:L21" si="36">J15</f>
        <v>0.5</v>
      </c>
      <c r="K19" s="642">
        <f t="shared" si="36"/>
        <v>0.5</v>
      </c>
      <c r="L19" s="642">
        <f t="shared" si="36"/>
        <v>0.5</v>
      </c>
      <c r="M19" s="244">
        <f t="shared" si="2"/>
        <v>3.1536000000000002E-2</v>
      </c>
      <c r="N19" s="460">
        <v>1</v>
      </c>
      <c r="O19" s="245">
        <v>30</v>
      </c>
      <c r="P19" s="227"/>
      <c r="Q19" s="227"/>
      <c r="R19" s="268" t="str">
        <f>R16</f>
        <v>Cooking</v>
      </c>
      <c r="S19" s="605"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RFTNGAE1</v>
      </c>
      <c r="C20" s="233" t="str">
        <f t="shared" si="35"/>
        <v>Residential Food (Cooking) Technology   - Natural Gas - Existing 1</v>
      </c>
      <c r="D20" s="233" t="str">
        <f t="shared" si="35"/>
        <v>RESNGA</v>
      </c>
      <c r="E20" s="233" t="str">
        <f t="shared" si="35"/>
        <v>RFDEM</v>
      </c>
      <c r="F20" s="575">
        <f>F16+O20</f>
        <v>2048</v>
      </c>
      <c r="G20" s="250">
        <v>0</v>
      </c>
      <c r="H20" s="250">
        <v>0</v>
      </c>
      <c r="I20" s="250">
        <v>0</v>
      </c>
      <c r="J20" s="642">
        <f t="shared" si="36"/>
        <v>0.5</v>
      </c>
      <c r="K20" s="642">
        <f t="shared" si="36"/>
        <v>0.5</v>
      </c>
      <c r="L20" s="642">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70"/>
      <c r="AD20" s="570"/>
    </row>
    <row r="21" spans="2:31" ht="14.5">
      <c r="B21" s="233" t="str">
        <f t="shared" si="35"/>
        <v>RFTELCOE1</v>
      </c>
      <c r="C21" s="233" t="str">
        <f t="shared" si="35"/>
        <v>Residential Food (Cooking) Technology   - Electricity Cooking - Existing 1</v>
      </c>
      <c r="D21" s="233" t="str">
        <f t="shared" si="35"/>
        <v>RESELCO</v>
      </c>
      <c r="E21" s="233" t="str">
        <f t="shared" si="35"/>
        <v>RFDEM</v>
      </c>
      <c r="F21" s="575">
        <f>F17+O21</f>
        <v>2048</v>
      </c>
      <c r="G21" s="250">
        <v>0</v>
      </c>
      <c r="H21" s="250">
        <v>0</v>
      </c>
      <c r="I21" s="250">
        <v>0</v>
      </c>
      <c r="J21" s="642">
        <f t="shared" si="36"/>
        <v>0.95</v>
      </c>
      <c r="K21" s="642">
        <f t="shared" si="36"/>
        <v>0.95</v>
      </c>
      <c r="L21" s="642">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4">
        <v>0.25600000000000001</v>
      </c>
      <c r="K22" s="644">
        <v>0.25600000000000001</v>
      </c>
      <c r="L22" s="644">
        <v>0.25600000000000001</v>
      </c>
      <c r="M22" s="244">
        <f t="shared" si="2"/>
        <v>3.1536000000000002E-2</v>
      </c>
      <c r="N22" s="460">
        <v>1</v>
      </c>
      <c r="O22" s="245">
        <v>30</v>
      </c>
      <c r="P22" s="227"/>
      <c r="Q22" s="268"/>
      <c r="R22" s="268" t="str">
        <f>R21</f>
        <v>Cooking</v>
      </c>
      <c r="S22" s="591"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937</v>
      </c>
      <c r="W27" s="439" t="s">
        <v>237</v>
      </c>
      <c r="X27" s="440" t="s">
        <v>238</v>
      </c>
      <c r="Y27" s="438" t="s">
        <v>937</v>
      </c>
      <c r="Z27" s="439" t="s">
        <v>237</v>
      </c>
      <c r="AA27" s="440" t="s">
        <v>238</v>
      </c>
    </row>
    <row r="28" spans="2:31" ht="26">
      <c r="B28" s="238" t="s">
        <v>2</v>
      </c>
      <c r="C28" s="238" t="s">
        <v>26</v>
      </c>
      <c r="D28" s="238" t="s">
        <v>14</v>
      </c>
      <c r="E28" s="238" t="s">
        <v>15</v>
      </c>
      <c r="F28" s="422" t="s">
        <v>108</v>
      </c>
      <c r="G28" s="239" t="s">
        <v>938</v>
      </c>
      <c r="H28" s="239" t="s">
        <v>749</v>
      </c>
      <c r="I28" s="239" t="s">
        <v>750</v>
      </c>
      <c r="J28" s="240" t="s">
        <v>939</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4">
        <v>1</v>
      </c>
      <c r="K30" s="464">
        <v>1</v>
      </c>
      <c r="L30" s="464">
        <v>1</v>
      </c>
      <c r="M30" s="244">
        <f t="shared" ref="M30:M37" si="44">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6"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6"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6"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6"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937</v>
      </c>
      <c r="W42" s="439" t="s">
        <v>237</v>
      </c>
      <c r="X42" s="440" t="s">
        <v>238</v>
      </c>
      <c r="Y42" s="438" t="s">
        <v>937</v>
      </c>
      <c r="Z42" s="439" t="s">
        <v>237</v>
      </c>
      <c r="AA42" s="440" t="s">
        <v>238</v>
      </c>
    </row>
    <row r="43" spans="2:27" ht="26">
      <c r="B43" s="238" t="s">
        <v>2</v>
      </c>
      <c r="C43" s="238" t="s">
        <v>26</v>
      </c>
      <c r="D43" s="238" t="s">
        <v>14</v>
      </c>
      <c r="E43" s="238" t="s">
        <v>15</v>
      </c>
      <c r="F43" s="422" t="s">
        <v>108</v>
      </c>
      <c r="G43" s="239" t="s">
        <v>938</v>
      </c>
      <c r="H43" s="239" t="s">
        <v>749</v>
      </c>
      <c r="I43" s="239" t="s">
        <v>750</v>
      </c>
      <c r="J43" s="240" t="s">
        <v>939</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5"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6"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6"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534.15</v>
      </c>
      <c r="H48" s="250">
        <f t="shared" ref="H48" si="78">ROUNDUP(Z48/($M48*$N48)*$G$2,2)</f>
        <v>0</v>
      </c>
      <c r="I48" s="250">
        <f t="shared" ref="I48" si="79">ROUNDUP(AA48/($M48*$N48)*$G$2,2)</f>
        <v>0</v>
      </c>
      <c r="J48" s="464">
        <v>1</v>
      </c>
      <c r="K48" s="464">
        <v>1</v>
      </c>
      <c r="L48" s="464">
        <v>1</v>
      </c>
      <c r="M48" s="244">
        <f t="shared" si="65"/>
        <v>3.1536000000000002E-2</v>
      </c>
      <c r="N48" s="460">
        <v>1</v>
      </c>
      <c r="O48" s="245">
        <v>30</v>
      </c>
      <c r="P48" s="227"/>
      <c r="Q48" s="268"/>
      <c r="R48" s="268" t="str">
        <f t="shared" si="70"/>
        <v>Hot Water</v>
      </c>
      <c r="S48" s="591"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16.514616</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1"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1"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2293.4100000000003</v>
      </c>
      <c r="H51" s="250">
        <f t="shared" ref="H51" si="93">ROUNDUP(Z51/($M51*$N51)*$G$2,2)</f>
        <v>0</v>
      </c>
      <c r="I51" s="250">
        <f t="shared" ref="I51" si="94">ROUNDUP(AA51/($M51*$N51)*$G$2,2)</f>
        <v>0</v>
      </c>
      <c r="J51" s="464">
        <v>1</v>
      </c>
      <c r="K51" s="464">
        <v>1</v>
      </c>
      <c r="L51" s="464">
        <v>1</v>
      </c>
      <c r="M51" s="244">
        <f t="shared" si="65"/>
        <v>3.1536000000000002E-2</v>
      </c>
      <c r="N51" s="460">
        <v>1</v>
      </c>
      <c r="O51" s="245">
        <v>30</v>
      </c>
      <c r="P51" s="227"/>
      <c r="Q51" s="268"/>
      <c r="R51" s="268" t="str">
        <f t="shared" si="70"/>
        <v>Hot Water</v>
      </c>
      <c r="S51" s="591"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70.906679999999994</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5"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6"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6"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744.33</v>
      </c>
      <c r="H56" s="250">
        <f t="shared" si="109"/>
        <v>0</v>
      </c>
      <c r="I56" s="250">
        <f t="shared" si="110"/>
        <v>0</v>
      </c>
      <c r="J56" s="464">
        <v>1</v>
      </c>
      <c r="K56" s="464">
        <v>1</v>
      </c>
      <c r="L56" s="464">
        <v>1</v>
      </c>
      <c r="M56" s="244">
        <f t="shared" si="65"/>
        <v>3.1536000000000002E-2</v>
      </c>
      <c r="N56" s="460">
        <v>1</v>
      </c>
      <c r="O56" s="245">
        <v>30</v>
      </c>
      <c r="P56" s="227"/>
      <c r="Q56" s="268"/>
      <c r="R56" s="268" t="str">
        <f t="shared" si="111"/>
        <v>Hot Water</v>
      </c>
      <c r="S56" s="591"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23.012858000000001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1"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1"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1766.02</v>
      </c>
      <c r="H59" s="250">
        <f t="shared" si="109"/>
        <v>0</v>
      </c>
      <c r="I59" s="250">
        <f t="shared" si="110"/>
        <v>0</v>
      </c>
      <c r="J59" s="464">
        <v>1</v>
      </c>
      <c r="K59" s="464">
        <v>1</v>
      </c>
      <c r="L59" s="464">
        <v>1</v>
      </c>
      <c r="M59" s="244">
        <f t="shared" si="65"/>
        <v>3.1536000000000002E-2</v>
      </c>
      <c r="N59" s="460">
        <v>1</v>
      </c>
      <c r="O59" s="245">
        <v>30</v>
      </c>
      <c r="P59" s="227"/>
      <c r="Q59" s="268"/>
      <c r="R59" s="268" t="str">
        <f t="shared" si="111"/>
        <v>Hot Water</v>
      </c>
      <c r="S59" s="591"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54.601157000000001</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5"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6"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6"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858.78</v>
      </c>
      <c r="H64" s="250">
        <f t="shared" si="63"/>
        <v>0</v>
      </c>
      <c r="I64" s="250">
        <f t="shared" si="64"/>
        <v>0</v>
      </c>
      <c r="J64" s="464">
        <v>1</v>
      </c>
      <c r="K64" s="464">
        <v>1</v>
      </c>
      <c r="L64" s="464">
        <v>1</v>
      </c>
      <c r="M64" s="244">
        <f t="shared" si="65"/>
        <v>3.1536000000000002E-2</v>
      </c>
      <c r="N64" s="460">
        <v>1</v>
      </c>
      <c r="O64" s="245">
        <v>30</v>
      </c>
      <c r="P64" s="227"/>
      <c r="Q64" s="268"/>
      <c r="R64" s="268" t="str">
        <f t="shared" si="118"/>
        <v>Hot Water</v>
      </c>
      <c r="S64" s="591"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26.551425999999999</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1"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1"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1812.3</v>
      </c>
      <c r="H67" s="250">
        <f t="shared" si="63"/>
        <v>0</v>
      </c>
      <c r="I67" s="250">
        <f t="shared" si="64"/>
        <v>0</v>
      </c>
      <c r="J67" s="464">
        <v>1</v>
      </c>
      <c r="K67" s="464">
        <v>1</v>
      </c>
      <c r="L67" s="464">
        <v>1</v>
      </c>
      <c r="M67" s="244">
        <f t="shared" si="65"/>
        <v>3.1536000000000002E-2</v>
      </c>
      <c r="N67" s="460">
        <v>1</v>
      </c>
      <c r="O67" s="245">
        <v>30</v>
      </c>
      <c r="P67" s="227"/>
      <c r="Q67" s="268"/>
      <c r="R67" s="268" t="str">
        <f t="shared" si="118"/>
        <v>Hot Water</v>
      </c>
      <c r="S67" s="591"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56.031815000000002</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5">
        <f>F61+O69</f>
        <v>2048</v>
      </c>
      <c r="G69" s="643">
        <v>0</v>
      </c>
      <c r="H69" s="643">
        <v>0</v>
      </c>
      <c r="I69" s="643">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5"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5">
        <f t="shared" ref="F70:F76" si="131">F62+O70</f>
        <v>2048</v>
      </c>
      <c r="G70" s="643">
        <v>0</v>
      </c>
      <c r="H70" s="643">
        <v>0</v>
      </c>
      <c r="I70" s="643">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6"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5">
        <f t="shared" si="131"/>
        <v>2048</v>
      </c>
      <c r="G71" s="643">
        <v>0</v>
      </c>
      <c r="H71" s="643">
        <v>0</v>
      </c>
      <c r="I71" s="643">
        <v>0</v>
      </c>
      <c r="J71" s="464">
        <v>0.71</v>
      </c>
      <c r="K71" s="464">
        <v>0.71</v>
      </c>
      <c r="L71" s="464">
        <v>0.71</v>
      </c>
      <c r="M71" s="244">
        <f t="shared" si="65"/>
        <v>3.1536000000000002E-2</v>
      </c>
      <c r="N71" s="460">
        <v>1</v>
      </c>
      <c r="O71" s="245">
        <v>30</v>
      </c>
      <c r="P71" s="227"/>
      <c r="Q71" s="268"/>
      <c r="R71" s="268" t="str">
        <f t="shared" ref="R71:R76" si="134">R70</f>
        <v>Hot Water</v>
      </c>
      <c r="S71" s="606"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5">
        <f t="shared" si="131"/>
        <v>2048</v>
      </c>
      <c r="G72" s="643">
        <v>0</v>
      </c>
      <c r="H72" s="643">
        <v>0</v>
      </c>
      <c r="I72" s="643">
        <v>0</v>
      </c>
      <c r="J72" s="464">
        <v>1</v>
      </c>
      <c r="K72" s="464">
        <v>1</v>
      </c>
      <c r="L72" s="464">
        <v>1</v>
      </c>
      <c r="M72" s="244">
        <f t="shared" si="65"/>
        <v>3.1536000000000002E-2</v>
      </c>
      <c r="N72" s="460">
        <v>1</v>
      </c>
      <c r="O72" s="245">
        <v>30</v>
      </c>
      <c r="P72" s="227"/>
      <c r="Q72" s="268"/>
      <c r="R72" s="268" t="str">
        <f t="shared" si="134"/>
        <v>Hot Water</v>
      </c>
      <c r="S72" s="591"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26.551425999999999</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5">
        <f t="shared" si="131"/>
        <v>2048</v>
      </c>
      <c r="G73" s="643">
        <v>0</v>
      </c>
      <c r="H73" s="643">
        <v>0</v>
      </c>
      <c r="I73" s="643">
        <v>0</v>
      </c>
      <c r="J73" s="464">
        <v>2.3199999999999998</v>
      </c>
      <c r="K73" s="464">
        <v>2.3199999999999998</v>
      </c>
      <c r="L73" s="464">
        <v>2.3199999999999998</v>
      </c>
      <c r="M73" s="244">
        <f t="shared" si="65"/>
        <v>3.1536000000000002E-2</v>
      </c>
      <c r="N73" s="460">
        <v>1</v>
      </c>
      <c r="O73" s="245">
        <v>30</v>
      </c>
      <c r="P73" s="227"/>
      <c r="Q73" s="268"/>
      <c r="R73" s="268" t="str">
        <f t="shared" si="134"/>
        <v>Hot Water</v>
      </c>
      <c r="S73" s="591"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5">
        <f t="shared" si="131"/>
        <v>2048</v>
      </c>
      <c r="G74" s="643">
        <v>0</v>
      </c>
      <c r="H74" s="643">
        <v>0</v>
      </c>
      <c r="I74" s="643">
        <v>0</v>
      </c>
      <c r="J74" s="464">
        <v>0.65</v>
      </c>
      <c r="K74" s="464">
        <v>0.65</v>
      </c>
      <c r="L74" s="464">
        <v>0.65</v>
      </c>
      <c r="M74" s="244">
        <f t="shared" si="65"/>
        <v>3.1536000000000002E-2</v>
      </c>
      <c r="N74" s="460">
        <v>1</v>
      </c>
      <c r="O74" s="245">
        <v>30</v>
      </c>
      <c r="P74" s="227"/>
      <c r="Q74" s="268"/>
      <c r="R74" s="268" t="str">
        <f t="shared" si="134"/>
        <v>Hot Water</v>
      </c>
      <c r="S74" s="591"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5">
        <f t="shared" si="131"/>
        <v>2048</v>
      </c>
      <c r="G75" s="643">
        <v>0</v>
      </c>
      <c r="H75" s="643">
        <v>0</v>
      </c>
      <c r="I75" s="643">
        <v>0</v>
      </c>
      <c r="J75" s="464">
        <v>1</v>
      </c>
      <c r="K75" s="464">
        <v>1</v>
      </c>
      <c r="L75" s="464">
        <v>1</v>
      </c>
      <c r="M75" s="244">
        <f t="shared" si="65"/>
        <v>3.1536000000000002E-2</v>
      </c>
      <c r="N75" s="460">
        <v>1</v>
      </c>
      <c r="O75" s="245">
        <v>30</v>
      </c>
      <c r="P75" s="227"/>
      <c r="Q75" s="268"/>
      <c r="R75" s="268" t="str">
        <f t="shared" si="134"/>
        <v>Hot Water</v>
      </c>
      <c r="S75" s="591"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56.031815000000002</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5">
        <f t="shared" si="131"/>
        <v>2048</v>
      </c>
      <c r="G76" s="643">
        <v>0</v>
      </c>
      <c r="H76" s="643">
        <v>0</v>
      </c>
      <c r="I76" s="643">
        <v>0</v>
      </c>
      <c r="J76" s="464">
        <v>0.95</v>
      </c>
      <c r="K76" s="464">
        <v>0.95</v>
      </c>
      <c r="L76" s="464">
        <v>0.95</v>
      </c>
      <c r="M76" s="244">
        <f t="shared" si="65"/>
        <v>3.1536000000000002E-2</v>
      </c>
      <c r="N76" s="460">
        <v>1</v>
      </c>
      <c r="O76" s="245">
        <v>30</v>
      </c>
      <c r="P76" s="227"/>
      <c r="Q76" s="268"/>
      <c r="R76" s="268" t="str">
        <f t="shared" si="134"/>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17" sqref="F17"/>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950</v>
      </c>
      <c r="G4" s="197" t="s">
        <v>741</v>
      </c>
      <c r="H4" s="197" t="s">
        <v>742</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1422.1644440733771</v>
      </c>
      <c r="G5" s="9">
        <f t="shared" ref="G5:H5" si="1">G41</f>
        <v>0</v>
      </c>
      <c r="H5" s="9">
        <f t="shared" si="1"/>
        <v>0</v>
      </c>
    </row>
    <row r="6" spans="2:43">
      <c r="B6" s="7" t="str">
        <f>Commodities!C8</f>
        <v>RHRDB</v>
      </c>
      <c r="C6" s="468" t="str">
        <f>Commodities!D8</f>
        <v>Residential Heating Rural Detached Building  Demand</v>
      </c>
      <c r="D6" s="468" t="str">
        <f>Commodities!E8</f>
        <v>Mm2</v>
      </c>
      <c r="E6" s="469">
        <v>2010</v>
      </c>
      <c r="F6" s="9">
        <f t="shared" ref="F6:H6" si="2">F42</f>
        <v>1082.7705600000002</v>
      </c>
      <c r="G6" s="9">
        <f t="shared" si="2"/>
        <v>0</v>
      </c>
      <c r="H6" s="9">
        <f t="shared" si="2"/>
        <v>0</v>
      </c>
    </row>
    <row r="7" spans="2:43">
      <c r="B7" s="7" t="str">
        <f>Commodities!C9</f>
        <v>RHUMB</v>
      </c>
      <c r="C7" s="468" t="str">
        <f>Commodities!D9</f>
        <v>Residential Heating Urban Multi Building  Demand</v>
      </c>
      <c r="D7" s="468" t="str">
        <f>Commodities!E9</f>
        <v>Mm2</v>
      </c>
      <c r="E7" s="469">
        <v>2010</v>
      </c>
      <c r="F7" s="9">
        <f t="shared" ref="F7:H7" si="3">F43</f>
        <v>997.27555592662316</v>
      </c>
      <c r="G7" s="9">
        <f t="shared" si="3"/>
        <v>0</v>
      </c>
      <c r="H7" s="9">
        <f t="shared" si="3"/>
        <v>0</v>
      </c>
      <c r="AJ7" s="9"/>
    </row>
    <row r="8" spans="2:43">
      <c r="B8" s="7" t="str">
        <f>Commodities!C10</f>
        <v>RHRMB</v>
      </c>
      <c r="C8" s="468" t="str">
        <f>Commodities!D10</f>
        <v>Residential Heating Rural Multi Building  Demand</v>
      </c>
      <c r="D8" s="468" t="str">
        <f>Commodities!E10</f>
        <v>Mm2</v>
      </c>
      <c r="E8" s="469">
        <v>2010</v>
      </c>
      <c r="F8" s="9">
        <f t="shared" ref="F8:H8" si="4">F44</f>
        <v>55.789439999999999</v>
      </c>
      <c r="G8" s="9">
        <f t="shared" si="4"/>
        <v>0</v>
      </c>
      <c r="H8" s="9">
        <f t="shared" si="4"/>
        <v>0</v>
      </c>
    </row>
    <row r="9" spans="2:43">
      <c r="B9" s="7" t="str">
        <f t="shared" ref="B9:C12" si="5">B5</f>
        <v>RHUDB</v>
      </c>
      <c r="C9" s="468" t="str">
        <f t="shared" si="5"/>
        <v>Residential Heating Urban Detached Building  Demand</v>
      </c>
      <c r="D9" s="468" t="str">
        <f>Commodities!E11</f>
        <v>Mm2</v>
      </c>
      <c r="E9" s="469">
        <v>2015</v>
      </c>
      <c r="F9" s="9">
        <f>F45</f>
        <v>1466.9318464725393</v>
      </c>
      <c r="G9" s="9">
        <f t="shared" ref="G9:H9" si="6">G45</f>
        <v>0</v>
      </c>
      <c r="H9" s="9">
        <f t="shared" si="6"/>
        <v>0</v>
      </c>
    </row>
    <row r="10" spans="2:43">
      <c r="B10" s="7" t="str">
        <f t="shared" si="5"/>
        <v>RHRDB</v>
      </c>
      <c r="C10" s="468" t="str">
        <f t="shared" si="5"/>
        <v>Residential Heating Rural Detached Building  Demand</v>
      </c>
      <c r="D10" s="468" t="str">
        <f>Commodities!E12</f>
        <v>Mm2</v>
      </c>
      <c r="E10" s="469">
        <v>2015</v>
      </c>
      <c r="F10" s="9">
        <f t="shared" ref="F10:H10" si="7">F46</f>
        <v>1116.8544000000002</v>
      </c>
      <c r="G10" s="9">
        <f t="shared" si="7"/>
        <v>0</v>
      </c>
      <c r="H10" s="9">
        <f t="shared" si="7"/>
        <v>0</v>
      </c>
    </row>
    <row r="11" spans="2:43">
      <c r="B11" s="7" t="str">
        <f t="shared" si="5"/>
        <v>RHUMB</v>
      </c>
      <c r="C11" s="468" t="str">
        <f t="shared" si="5"/>
        <v>Residential Heating Urban Multi Building  Demand</v>
      </c>
      <c r="D11" s="468" t="str">
        <f>Commodities!E13</f>
        <v>Mm2</v>
      </c>
      <c r="E11" s="469">
        <v>2015</v>
      </c>
      <c r="F11" s="9">
        <f t="shared" ref="F11:H11" si="8">F47</f>
        <v>1028.6681535274611</v>
      </c>
      <c r="G11" s="9">
        <f t="shared" si="8"/>
        <v>0</v>
      </c>
      <c r="H11" s="9">
        <f t="shared" si="8"/>
        <v>0</v>
      </c>
    </row>
    <row r="12" spans="2:43">
      <c r="B12" s="7" t="str">
        <f t="shared" si="5"/>
        <v>RHRMB</v>
      </c>
      <c r="C12" s="468" t="str">
        <f t="shared" si="5"/>
        <v>Residential Heating Rural Multi Building  Demand</v>
      </c>
      <c r="D12" s="468" t="str">
        <f>Commodities!E14</f>
        <v>Mm2</v>
      </c>
      <c r="E12" s="469">
        <v>2015</v>
      </c>
      <c r="F12" s="9">
        <f t="shared" ref="F12:H12" si="9">F48</f>
        <v>57.5456</v>
      </c>
      <c r="G12" s="9">
        <f t="shared" si="9"/>
        <v>0</v>
      </c>
      <c r="H12" s="9">
        <f t="shared" si="9"/>
        <v>0</v>
      </c>
    </row>
    <row r="13" spans="2:43">
      <c r="B13" s="7" t="str">
        <f t="shared" ref="B13:D16" si="10">B5</f>
        <v>RHUDB</v>
      </c>
      <c r="C13" s="468" t="str">
        <f t="shared" si="10"/>
        <v>Residential Heating Urban Detached Building  Demand</v>
      </c>
      <c r="D13" s="468" t="str">
        <f t="shared" si="10"/>
        <v>Mm2</v>
      </c>
      <c r="E13" s="469">
        <v>2017</v>
      </c>
      <c r="F13" s="9">
        <f>F49</f>
        <v>1488.9158387221278</v>
      </c>
      <c r="G13" s="9">
        <f t="shared" ref="G13:H13" si="11">G49</f>
        <v>0</v>
      </c>
      <c r="H13" s="9">
        <f t="shared" si="11"/>
        <v>0</v>
      </c>
      <c r="L13" s="579"/>
      <c r="M13" s="579"/>
      <c r="N13" s="579"/>
    </row>
    <row r="14" spans="2:43">
      <c r="B14" s="7" t="str">
        <f t="shared" si="10"/>
        <v>RHRDB</v>
      </c>
      <c r="C14" s="468" t="str">
        <f t="shared" si="10"/>
        <v>Residential Heating Rural Detached Building  Demand</v>
      </c>
      <c r="D14" s="468" t="str">
        <f t="shared" si="10"/>
        <v>Mm2</v>
      </c>
      <c r="E14" s="469">
        <v>2017</v>
      </c>
      <c r="F14" s="9">
        <f t="shared" ref="F14:H14" si="12">F50</f>
        <v>1133.5920000000001</v>
      </c>
      <c r="G14" s="9">
        <f t="shared" si="12"/>
        <v>0</v>
      </c>
      <c r="H14" s="9">
        <f t="shared" si="12"/>
        <v>0</v>
      </c>
      <c r="L14" s="579"/>
      <c r="M14" s="579"/>
      <c r="N14" s="579"/>
    </row>
    <row r="15" spans="2:43">
      <c r="B15" s="7" t="str">
        <f t="shared" si="10"/>
        <v>RHUMB</v>
      </c>
      <c r="C15" s="468" t="str">
        <f t="shared" si="10"/>
        <v>Residential Heating Urban Multi Building  Demand</v>
      </c>
      <c r="D15" s="468" t="str">
        <f t="shared" si="10"/>
        <v>Mm2</v>
      </c>
      <c r="E15" s="469">
        <v>2017</v>
      </c>
      <c r="F15" s="9">
        <f t="shared" ref="F15:H15" si="13">F51</f>
        <v>1044.0841612778727</v>
      </c>
      <c r="G15" s="9">
        <f t="shared" si="13"/>
        <v>0</v>
      </c>
      <c r="H15" s="9">
        <f t="shared" si="13"/>
        <v>0</v>
      </c>
      <c r="L15" s="579"/>
      <c r="M15" s="579"/>
      <c r="N15" s="579"/>
    </row>
    <row r="16" spans="2:43">
      <c r="B16" s="7" t="str">
        <f t="shared" si="10"/>
        <v>RHRMB</v>
      </c>
      <c r="C16" s="468" t="str">
        <f t="shared" si="10"/>
        <v>Residential Heating Rural Multi Building  Demand</v>
      </c>
      <c r="D16" s="468" t="str">
        <f t="shared" si="10"/>
        <v>Mm2</v>
      </c>
      <c r="E16" s="469">
        <v>2017</v>
      </c>
      <c r="F16" s="9">
        <f t="shared" ref="F16:H16" si="14">F52</f>
        <v>58.408000000000001</v>
      </c>
      <c r="G16" s="9">
        <f t="shared" si="14"/>
        <v>0</v>
      </c>
      <c r="H16" s="9">
        <f t="shared" si="14"/>
        <v>0</v>
      </c>
      <c r="L16" s="579"/>
      <c r="M16" s="579"/>
      <c r="N16" s="579"/>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501" t="s">
        <v>198</v>
      </c>
      <c r="D29" s="507" t="s">
        <v>44</v>
      </c>
      <c r="E29" s="502">
        <v>2010</v>
      </c>
      <c r="F29" s="9">
        <f>F65</f>
        <v>316.47353420000002</v>
      </c>
      <c r="G29" s="9">
        <f t="shared" ref="G29:H30" si="29">G65</f>
        <v>0</v>
      </c>
      <c r="H29" s="9">
        <f t="shared" si="29"/>
        <v>0</v>
      </c>
    </row>
    <row r="30" spans="2:8">
      <c r="B30" s="3" t="str">
        <f>Commodities!$C$15</f>
        <v>RWDEM</v>
      </c>
      <c r="C30" s="501" t="s">
        <v>198</v>
      </c>
      <c r="D30" s="507" t="s">
        <v>44</v>
      </c>
      <c r="E30" s="502">
        <v>2015</v>
      </c>
      <c r="F30" s="9">
        <f>F66</f>
        <v>322.46411307</v>
      </c>
      <c r="G30" s="9">
        <f t="shared" si="29"/>
        <v>0</v>
      </c>
      <c r="H30" s="9">
        <f t="shared" si="29"/>
        <v>0</v>
      </c>
    </row>
    <row r="31" spans="2:8">
      <c r="B31" s="3" t="str">
        <f>B29</f>
        <v>RWDEM</v>
      </c>
      <c r="C31" s="501" t="s">
        <v>198</v>
      </c>
      <c r="D31" s="507" t="s">
        <v>44</v>
      </c>
      <c r="E31" s="502">
        <v>2018</v>
      </c>
      <c r="F31" s="9">
        <f t="shared" ref="F31:H31" si="30">F67</f>
        <v>360.05040231999999</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136.33140649999999</v>
      </c>
      <c r="G35" s="9">
        <f t="shared" si="33"/>
        <v>0</v>
      </c>
      <c r="H35" s="9">
        <f t="shared" si="33"/>
        <v>0</v>
      </c>
    </row>
    <row r="36" spans="2:28">
      <c r="B36" s="3" t="str">
        <f>Commodities!$C$17</f>
        <v>RFDEM</v>
      </c>
      <c r="C36" s="505" t="s">
        <v>197</v>
      </c>
      <c r="D36" s="509" t="s">
        <v>44</v>
      </c>
      <c r="E36" s="506">
        <v>2015</v>
      </c>
      <c r="F36" s="9">
        <f t="shared" si="33"/>
        <v>130.87360329999998</v>
      </c>
      <c r="G36" s="9">
        <f t="shared" si="33"/>
        <v>0</v>
      </c>
      <c r="H36" s="9">
        <f t="shared" si="33"/>
        <v>0</v>
      </c>
    </row>
    <row r="37" spans="2:28">
      <c r="B37" s="3" t="str">
        <f>B35</f>
        <v>RFDEM</v>
      </c>
      <c r="C37" s="505" t="s">
        <v>197</v>
      </c>
      <c r="D37" s="509" t="s">
        <v>44</v>
      </c>
      <c r="E37" s="506">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316.47353420000002</v>
      </c>
      <c r="G65" s="23">
        <f>SUM('Appliances&amp;Cooking'!Z45:Z46)</f>
        <v>0</v>
      </c>
      <c r="H65" s="23">
        <f>SUM('Appliances&amp;Cooking'!AA45:AA46)</f>
        <v>0</v>
      </c>
    </row>
    <row r="66" spans="4:8">
      <c r="F66" s="23">
        <f>SUM('Appliances&amp;Cooking'!Y53:Y60)</f>
        <v>322.46411307</v>
      </c>
      <c r="G66" s="23">
        <f>SUM('Appliances&amp;Cooking'!Z53:Z54)</f>
        <v>0</v>
      </c>
      <c r="H66" s="23">
        <f>SUM('Appliances&amp;Cooking'!AA53:AA54)</f>
        <v>0</v>
      </c>
    </row>
    <row r="67" spans="4:8">
      <c r="F67" s="23">
        <f>SUM('Appliances&amp;Cooking'!Y61:Y68)</f>
        <v>360.05040231999999</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5" customWidth="1"/>
    <col min="2" max="2" width="29.90625" style="585" customWidth="1"/>
    <col min="3" max="71" width="19.90625" style="585" customWidth="1"/>
    <col min="72" max="72" width="29.7265625" style="585" customWidth="1"/>
    <col min="73" max="16384" width="8.7265625" style="585"/>
  </cols>
  <sheetData>
    <row r="1" spans="1:72">
      <c r="A1" s="586" t="s">
        <v>915</v>
      </c>
    </row>
    <row r="2" spans="1:72">
      <c r="A2" s="586" t="s">
        <v>916</v>
      </c>
      <c r="B2" s="587" t="s">
        <v>914</v>
      </c>
    </row>
    <row r="3" spans="1:72">
      <c r="A3" s="586" t="s">
        <v>917</v>
      </c>
      <c r="B3" s="586" t="s">
        <v>918</v>
      </c>
    </row>
    <row r="4" spans="1:72"/>
    <row r="5" spans="1:72">
      <c r="A5" s="587" t="s">
        <v>913</v>
      </c>
      <c r="C5" s="586" t="s">
        <v>912</v>
      </c>
    </row>
    <row r="6" spans="1:72">
      <c r="A6" s="587" t="s">
        <v>911</v>
      </c>
      <c r="C6" s="586" t="s">
        <v>910</v>
      </c>
    </row>
    <row r="7" spans="1:72"/>
    <row r="8" spans="1:72">
      <c r="A8" s="674" t="s">
        <v>909</v>
      </c>
      <c r="B8" s="674" t="s">
        <v>909</v>
      </c>
      <c r="C8" s="673" t="s">
        <v>908</v>
      </c>
      <c r="D8" s="673" t="s">
        <v>908</v>
      </c>
      <c r="E8" s="673" t="s">
        <v>908</v>
      </c>
      <c r="F8" s="673" t="s">
        <v>908</v>
      </c>
      <c r="G8" s="673" t="s">
        <v>908</v>
      </c>
      <c r="H8" s="673" t="s">
        <v>908</v>
      </c>
      <c r="I8" s="673" t="s">
        <v>908</v>
      </c>
      <c r="J8" s="673" t="s">
        <v>907</v>
      </c>
      <c r="K8" s="673" t="s">
        <v>907</v>
      </c>
      <c r="L8" s="673" t="s">
        <v>907</v>
      </c>
      <c r="M8" s="673" t="s">
        <v>907</v>
      </c>
      <c r="N8" s="673" t="s">
        <v>907</v>
      </c>
      <c r="O8" s="673" t="s">
        <v>907</v>
      </c>
      <c r="P8" s="673" t="s">
        <v>907</v>
      </c>
      <c r="Q8" s="673" t="s">
        <v>906</v>
      </c>
      <c r="R8" s="673" t="s">
        <v>906</v>
      </c>
      <c r="S8" s="673" t="s">
        <v>906</v>
      </c>
      <c r="T8" s="673" t="s">
        <v>906</v>
      </c>
      <c r="U8" s="673" t="s">
        <v>906</v>
      </c>
      <c r="V8" s="673" t="s">
        <v>906</v>
      </c>
      <c r="W8" s="673" t="s">
        <v>906</v>
      </c>
      <c r="X8" s="673" t="s">
        <v>905</v>
      </c>
      <c r="Y8" s="673" t="s">
        <v>905</v>
      </c>
      <c r="Z8" s="673" t="s">
        <v>905</v>
      </c>
      <c r="AA8" s="673" t="s">
        <v>905</v>
      </c>
      <c r="AB8" s="673" t="s">
        <v>905</v>
      </c>
      <c r="AC8" s="673" t="s">
        <v>905</v>
      </c>
      <c r="AD8" s="673" t="s">
        <v>905</v>
      </c>
      <c r="AE8" s="673" t="s">
        <v>904</v>
      </c>
      <c r="AF8" s="673" t="s">
        <v>904</v>
      </c>
      <c r="AG8" s="673" t="s">
        <v>904</v>
      </c>
      <c r="AH8" s="673" t="s">
        <v>904</v>
      </c>
      <c r="AI8" s="673" t="s">
        <v>904</v>
      </c>
      <c r="AJ8" s="673" t="s">
        <v>904</v>
      </c>
      <c r="AK8" s="673" t="s">
        <v>904</v>
      </c>
      <c r="AL8" s="673" t="s">
        <v>903</v>
      </c>
      <c r="AM8" s="673" t="s">
        <v>903</v>
      </c>
      <c r="AN8" s="673" t="s">
        <v>903</v>
      </c>
      <c r="AO8" s="673" t="s">
        <v>903</v>
      </c>
      <c r="AP8" s="673" t="s">
        <v>903</v>
      </c>
      <c r="AQ8" s="673" t="s">
        <v>903</v>
      </c>
      <c r="AR8" s="673" t="s">
        <v>903</v>
      </c>
      <c r="AS8" s="673" t="s">
        <v>902</v>
      </c>
      <c r="AT8" s="673" t="s">
        <v>902</v>
      </c>
      <c r="AU8" s="673" t="s">
        <v>902</v>
      </c>
      <c r="AV8" s="673" t="s">
        <v>902</v>
      </c>
      <c r="AW8" s="673" t="s">
        <v>902</v>
      </c>
      <c r="AX8" s="673" t="s">
        <v>902</v>
      </c>
      <c r="AY8" s="673" t="s">
        <v>902</v>
      </c>
      <c r="AZ8" s="673" t="s">
        <v>901</v>
      </c>
      <c r="BA8" s="673" t="s">
        <v>901</v>
      </c>
      <c r="BB8" s="673" t="s">
        <v>901</v>
      </c>
      <c r="BC8" s="673" t="s">
        <v>901</v>
      </c>
      <c r="BD8" s="673" t="s">
        <v>901</v>
      </c>
      <c r="BE8" s="673" t="s">
        <v>901</v>
      </c>
      <c r="BF8" s="673" t="s">
        <v>901</v>
      </c>
      <c r="BG8" s="673" t="s">
        <v>900</v>
      </c>
      <c r="BH8" s="673" t="s">
        <v>900</v>
      </c>
      <c r="BI8" s="673" t="s">
        <v>900</v>
      </c>
      <c r="BJ8" s="673" t="s">
        <v>900</v>
      </c>
      <c r="BK8" s="673" t="s">
        <v>900</v>
      </c>
      <c r="BL8" s="673" t="s">
        <v>900</v>
      </c>
      <c r="BM8" s="673" t="s">
        <v>900</v>
      </c>
      <c r="BN8" s="673" t="s">
        <v>899</v>
      </c>
      <c r="BO8" s="673" t="s">
        <v>899</v>
      </c>
      <c r="BP8" s="673" t="s">
        <v>899</v>
      </c>
      <c r="BQ8" s="673" t="s">
        <v>899</v>
      </c>
      <c r="BR8" s="673" t="s">
        <v>899</v>
      </c>
      <c r="BS8" s="673" t="s">
        <v>899</v>
      </c>
      <c r="BT8" s="673" t="s">
        <v>899</v>
      </c>
    </row>
    <row r="9" spans="1:72">
      <c r="A9" s="674" t="s">
        <v>898</v>
      </c>
      <c r="B9" s="674" t="s">
        <v>898</v>
      </c>
      <c r="C9" s="597" t="s">
        <v>897</v>
      </c>
      <c r="D9" s="597" t="s">
        <v>896</v>
      </c>
      <c r="E9" s="597" t="s">
        <v>895</v>
      </c>
      <c r="F9" s="597" t="s">
        <v>894</v>
      </c>
      <c r="G9" s="597" t="s">
        <v>893</v>
      </c>
      <c r="H9" s="597" t="s">
        <v>892</v>
      </c>
      <c r="I9" s="597" t="s">
        <v>891</v>
      </c>
      <c r="J9" s="597" t="s">
        <v>897</v>
      </c>
      <c r="K9" s="597" t="s">
        <v>896</v>
      </c>
      <c r="L9" s="597" t="s">
        <v>895</v>
      </c>
      <c r="M9" s="597" t="s">
        <v>894</v>
      </c>
      <c r="N9" s="597" t="s">
        <v>893</v>
      </c>
      <c r="O9" s="597" t="s">
        <v>892</v>
      </c>
      <c r="P9" s="597" t="s">
        <v>891</v>
      </c>
      <c r="Q9" s="597" t="s">
        <v>897</v>
      </c>
      <c r="R9" s="597" t="s">
        <v>896</v>
      </c>
      <c r="S9" s="597" t="s">
        <v>895</v>
      </c>
      <c r="T9" s="597" t="s">
        <v>894</v>
      </c>
      <c r="U9" s="597" t="s">
        <v>893</v>
      </c>
      <c r="V9" s="597" t="s">
        <v>892</v>
      </c>
      <c r="W9" s="597" t="s">
        <v>891</v>
      </c>
      <c r="X9" s="597" t="s">
        <v>897</v>
      </c>
      <c r="Y9" s="597" t="s">
        <v>896</v>
      </c>
      <c r="Z9" s="597" t="s">
        <v>895</v>
      </c>
      <c r="AA9" s="597" t="s">
        <v>894</v>
      </c>
      <c r="AB9" s="597" t="s">
        <v>893</v>
      </c>
      <c r="AC9" s="597" t="s">
        <v>892</v>
      </c>
      <c r="AD9" s="597" t="s">
        <v>891</v>
      </c>
      <c r="AE9" s="597" t="s">
        <v>897</v>
      </c>
      <c r="AF9" s="597" t="s">
        <v>896</v>
      </c>
      <c r="AG9" s="597" t="s">
        <v>895</v>
      </c>
      <c r="AH9" s="597" t="s">
        <v>894</v>
      </c>
      <c r="AI9" s="597" t="s">
        <v>893</v>
      </c>
      <c r="AJ9" s="597" t="s">
        <v>892</v>
      </c>
      <c r="AK9" s="597" t="s">
        <v>891</v>
      </c>
      <c r="AL9" s="597" t="s">
        <v>897</v>
      </c>
      <c r="AM9" s="597" t="s">
        <v>896</v>
      </c>
      <c r="AN9" s="597" t="s">
        <v>895</v>
      </c>
      <c r="AO9" s="597" t="s">
        <v>894</v>
      </c>
      <c r="AP9" s="597" t="s">
        <v>893</v>
      </c>
      <c r="AQ9" s="597" t="s">
        <v>892</v>
      </c>
      <c r="AR9" s="597" t="s">
        <v>891</v>
      </c>
      <c r="AS9" s="597" t="s">
        <v>897</v>
      </c>
      <c r="AT9" s="597" t="s">
        <v>896</v>
      </c>
      <c r="AU9" s="597" t="s">
        <v>895</v>
      </c>
      <c r="AV9" s="597" t="s">
        <v>894</v>
      </c>
      <c r="AW9" s="597" t="s">
        <v>893</v>
      </c>
      <c r="AX9" s="597" t="s">
        <v>892</v>
      </c>
      <c r="AY9" s="597" t="s">
        <v>891</v>
      </c>
      <c r="AZ9" s="597" t="s">
        <v>897</v>
      </c>
      <c r="BA9" s="597" t="s">
        <v>896</v>
      </c>
      <c r="BB9" s="597" t="s">
        <v>895</v>
      </c>
      <c r="BC9" s="597" t="s">
        <v>894</v>
      </c>
      <c r="BD9" s="597" t="s">
        <v>893</v>
      </c>
      <c r="BE9" s="597" t="s">
        <v>892</v>
      </c>
      <c r="BF9" s="597" t="s">
        <v>891</v>
      </c>
      <c r="BG9" s="597" t="s">
        <v>897</v>
      </c>
      <c r="BH9" s="597" t="s">
        <v>896</v>
      </c>
      <c r="BI9" s="597" t="s">
        <v>895</v>
      </c>
      <c r="BJ9" s="597" t="s">
        <v>894</v>
      </c>
      <c r="BK9" s="597" t="s">
        <v>893</v>
      </c>
      <c r="BL9" s="597" t="s">
        <v>892</v>
      </c>
      <c r="BM9" s="597" t="s">
        <v>891</v>
      </c>
      <c r="BN9" s="597" t="s">
        <v>897</v>
      </c>
      <c r="BO9" s="597" t="s">
        <v>896</v>
      </c>
      <c r="BP9" s="597" t="s">
        <v>895</v>
      </c>
      <c r="BQ9" s="597" t="s">
        <v>894</v>
      </c>
      <c r="BR9" s="597" t="s">
        <v>893</v>
      </c>
      <c r="BS9" s="597" t="s">
        <v>892</v>
      </c>
      <c r="BT9" s="597" t="s">
        <v>891</v>
      </c>
    </row>
    <row r="10" spans="1:72">
      <c r="A10" s="596" t="s">
        <v>890</v>
      </c>
      <c r="B10" s="596" t="s">
        <v>889</v>
      </c>
      <c r="C10" s="595" t="s">
        <v>888</v>
      </c>
      <c r="D10" s="595" t="s">
        <v>888</v>
      </c>
      <c r="E10" s="595" t="s">
        <v>888</v>
      </c>
      <c r="F10" s="595" t="s">
        <v>888</v>
      </c>
      <c r="G10" s="595" t="s">
        <v>888</v>
      </c>
      <c r="H10" s="595" t="s">
        <v>888</v>
      </c>
      <c r="I10" s="595" t="s">
        <v>888</v>
      </c>
      <c r="J10" s="595" t="s">
        <v>888</v>
      </c>
      <c r="K10" s="595" t="s">
        <v>888</v>
      </c>
      <c r="L10" s="595" t="s">
        <v>888</v>
      </c>
      <c r="M10" s="595" t="s">
        <v>888</v>
      </c>
      <c r="N10" s="595" t="s">
        <v>888</v>
      </c>
      <c r="O10" s="595" t="s">
        <v>888</v>
      </c>
      <c r="P10" s="595" t="s">
        <v>888</v>
      </c>
      <c r="Q10" s="595" t="s">
        <v>888</v>
      </c>
      <c r="R10" s="595" t="s">
        <v>888</v>
      </c>
      <c r="S10" s="595" t="s">
        <v>888</v>
      </c>
      <c r="T10" s="595" t="s">
        <v>888</v>
      </c>
      <c r="U10" s="595" t="s">
        <v>888</v>
      </c>
      <c r="V10" s="595" t="s">
        <v>888</v>
      </c>
      <c r="W10" s="595" t="s">
        <v>888</v>
      </c>
      <c r="X10" s="595" t="s">
        <v>888</v>
      </c>
      <c r="Y10" s="595" t="s">
        <v>888</v>
      </c>
      <c r="Z10" s="595" t="s">
        <v>888</v>
      </c>
      <c r="AA10" s="595" t="s">
        <v>888</v>
      </c>
      <c r="AB10" s="595" t="s">
        <v>888</v>
      </c>
      <c r="AC10" s="595" t="s">
        <v>888</v>
      </c>
      <c r="AD10" s="595" t="s">
        <v>888</v>
      </c>
      <c r="AE10" s="595" t="s">
        <v>888</v>
      </c>
      <c r="AF10" s="595" t="s">
        <v>888</v>
      </c>
      <c r="AG10" s="595" t="s">
        <v>888</v>
      </c>
      <c r="AH10" s="595" t="s">
        <v>888</v>
      </c>
      <c r="AI10" s="595" t="s">
        <v>888</v>
      </c>
      <c r="AJ10" s="595" t="s">
        <v>888</v>
      </c>
      <c r="AK10" s="595" t="s">
        <v>888</v>
      </c>
      <c r="AL10" s="595" t="s">
        <v>888</v>
      </c>
      <c r="AM10" s="595" t="s">
        <v>888</v>
      </c>
      <c r="AN10" s="595" t="s">
        <v>888</v>
      </c>
      <c r="AO10" s="595" t="s">
        <v>888</v>
      </c>
      <c r="AP10" s="595" t="s">
        <v>888</v>
      </c>
      <c r="AQ10" s="595" t="s">
        <v>888</v>
      </c>
      <c r="AR10" s="595" t="s">
        <v>888</v>
      </c>
      <c r="AS10" s="595" t="s">
        <v>888</v>
      </c>
      <c r="AT10" s="595" t="s">
        <v>888</v>
      </c>
      <c r="AU10" s="595" t="s">
        <v>888</v>
      </c>
      <c r="AV10" s="595" t="s">
        <v>888</v>
      </c>
      <c r="AW10" s="595" t="s">
        <v>888</v>
      </c>
      <c r="AX10" s="595" t="s">
        <v>888</v>
      </c>
      <c r="AY10" s="595" t="s">
        <v>888</v>
      </c>
      <c r="AZ10" s="595" t="s">
        <v>888</v>
      </c>
      <c r="BA10" s="595" t="s">
        <v>888</v>
      </c>
      <c r="BB10" s="595" t="s">
        <v>888</v>
      </c>
      <c r="BC10" s="595" t="s">
        <v>888</v>
      </c>
      <c r="BD10" s="595" t="s">
        <v>888</v>
      </c>
      <c r="BE10" s="595" t="s">
        <v>888</v>
      </c>
      <c r="BF10" s="595" t="s">
        <v>888</v>
      </c>
      <c r="BG10" s="595" t="s">
        <v>888</v>
      </c>
      <c r="BH10" s="595" t="s">
        <v>888</v>
      </c>
      <c r="BI10" s="595" t="s">
        <v>888</v>
      </c>
      <c r="BJ10" s="595" t="s">
        <v>888</v>
      </c>
      <c r="BK10" s="595" t="s">
        <v>888</v>
      </c>
      <c r="BL10" s="595" t="s">
        <v>888</v>
      </c>
      <c r="BM10" s="595" t="s">
        <v>888</v>
      </c>
      <c r="BN10" s="595" t="s">
        <v>888</v>
      </c>
      <c r="BO10" s="595" t="s">
        <v>888</v>
      </c>
      <c r="BP10" s="595" t="s">
        <v>888</v>
      </c>
      <c r="BQ10" s="595" t="s">
        <v>888</v>
      </c>
      <c r="BR10" s="595" t="s">
        <v>888</v>
      </c>
      <c r="BS10" s="595" t="s">
        <v>888</v>
      </c>
      <c r="BT10" s="595" t="s">
        <v>888</v>
      </c>
    </row>
    <row r="11" spans="1:72">
      <c r="A11" s="591" t="s">
        <v>878</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878</v>
      </c>
      <c r="B12" s="591" t="s">
        <v>887</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878</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878</v>
      </c>
      <c r="B14" s="591" t="s">
        <v>886</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878</v>
      </c>
      <c r="B15" s="591" t="s">
        <v>885</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878</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878</v>
      </c>
      <c r="B17" s="591" t="s">
        <v>884</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878</v>
      </c>
      <c r="B18" s="591" t="s">
        <v>883</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878</v>
      </c>
      <c r="B19" s="591" t="s">
        <v>882</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878</v>
      </c>
      <c r="B20" s="591" t="s">
        <v>881</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878</v>
      </c>
      <c r="B21" s="591" t="s">
        <v>880</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878</v>
      </c>
      <c r="B22" s="591" t="s">
        <v>879</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878</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878</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877</v>
      </c>
    </row>
    <row r="27" spans="1:72">
      <c r="A27" s="587">
        <v>0</v>
      </c>
      <c r="B27" s="586" t="s">
        <v>876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937</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46">
        <v>0</v>
      </c>
      <c r="D6" s="646">
        <v>0</v>
      </c>
      <c r="E6" s="646">
        <v>0</v>
      </c>
      <c r="F6" s="646">
        <v>0</v>
      </c>
      <c r="G6" s="646">
        <v>0</v>
      </c>
      <c r="H6" s="646">
        <v>0</v>
      </c>
      <c r="I6" s="646">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topLeftCell="D4" zoomScale="85" zoomScaleNormal="85" workbookViewId="0">
      <selection activeCell="D14" sqref="D14:N17"/>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794</v>
      </c>
    </row>
    <row r="5" spans="2:22" ht="28.75" customHeight="1">
      <c r="B5" s="331" t="s">
        <v>223</v>
      </c>
      <c r="C5" s="331" t="s">
        <v>230</v>
      </c>
      <c r="D5" s="332">
        <v>0.3</v>
      </c>
      <c r="E5" s="663" t="s">
        <v>224</v>
      </c>
    </row>
    <row r="6" spans="2:22" ht="28.75" customHeight="1">
      <c r="B6" s="331" t="s">
        <v>223</v>
      </c>
      <c r="C6" s="331" t="s">
        <v>229</v>
      </c>
      <c r="D6" s="333">
        <v>0.7</v>
      </c>
      <c r="E6" s="663"/>
      <c r="S6" s="132" t="s">
        <v>791</v>
      </c>
    </row>
    <row r="7" spans="2:22">
      <c r="T7" s="106" t="s">
        <v>116</v>
      </c>
      <c r="U7" s="106" t="s">
        <v>792</v>
      </c>
    </row>
    <row r="8" spans="2:22">
      <c r="B8" s="106"/>
      <c r="S8" s="156">
        <v>2011</v>
      </c>
      <c r="T8" s="527">
        <v>4.0054008414882007</v>
      </c>
      <c r="U8" s="527">
        <v>3.1390555577411314</v>
      </c>
      <c r="V8" s="106" t="s">
        <v>793</v>
      </c>
    </row>
    <row r="9" spans="2:22">
      <c r="S9" s="156">
        <v>2016</v>
      </c>
      <c r="T9" s="527">
        <v>4.7531666045225966</v>
      </c>
      <c r="U9" s="527">
        <v>3.6871365087455148</v>
      </c>
      <c r="V9" s="106" t="s">
        <v>793</v>
      </c>
    </row>
    <row r="10" spans="2:22">
      <c r="S10" s="156">
        <v>2021</v>
      </c>
      <c r="T10" s="527">
        <v>6.0763888888888884</v>
      </c>
      <c r="U10" s="527">
        <v>6.0763888888888884</v>
      </c>
      <c r="V10" s="106" t="s">
        <v>793</v>
      </c>
    </row>
    <row r="11" spans="2:22">
      <c r="S11" s="164">
        <v>2031</v>
      </c>
      <c r="T11" s="527">
        <v>6.9444444444444446</v>
      </c>
      <c r="U11" s="527">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963</v>
      </c>
    </row>
    <row r="15" spans="2:22">
      <c r="C15" s="106" t="s">
        <v>234</v>
      </c>
      <c r="D15" s="6">
        <v>3393</v>
      </c>
      <c r="E15" s="6">
        <v>3410</v>
      </c>
      <c r="F15" s="6">
        <v>3558</v>
      </c>
      <c r="G15" s="6">
        <v>3577</v>
      </c>
      <c r="H15" s="6">
        <v>3598</v>
      </c>
      <c r="I15" s="126">
        <v>3620</v>
      </c>
      <c r="J15" s="126">
        <v>3646</v>
      </c>
      <c r="K15" s="126">
        <v>3670</v>
      </c>
      <c r="L15" s="126">
        <v>3698</v>
      </c>
      <c r="M15" s="126">
        <v>3725</v>
      </c>
      <c r="N15" t="s">
        <v>961</v>
      </c>
    </row>
    <row r="16" spans="2:22">
      <c r="C16" t="s">
        <v>232</v>
      </c>
      <c r="D16">
        <v>43297</v>
      </c>
      <c r="E16">
        <v>38051</v>
      </c>
      <c r="F16">
        <v>39101</v>
      </c>
      <c r="G16">
        <v>39649</v>
      </c>
      <c r="H16">
        <v>34679</v>
      </c>
      <c r="I16" s="106">
        <v>33997</v>
      </c>
      <c r="J16" s="106">
        <v>37522</v>
      </c>
      <c r="K16" s="106">
        <v>39969</v>
      </c>
      <c r="L16" s="106">
        <v>44387</v>
      </c>
      <c r="M16" s="106">
        <v>39473</v>
      </c>
      <c r="N16" t="s">
        <v>962</v>
      </c>
    </row>
    <row r="17" spans="2:14">
      <c r="C17" t="s">
        <v>233</v>
      </c>
      <c r="D17">
        <v>206.53</v>
      </c>
      <c r="E17">
        <v>206.53</v>
      </c>
      <c r="F17">
        <v>206.53</v>
      </c>
      <c r="G17">
        <v>206.56</v>
      </c>
      <c r="H17">
        <v>202.33</v>
      </c>
      <c r="I17" s="106">
        <v>199.73</v>
      </c>
      <c r="J17" s="106">
        <v>192.4</v>
      </c>
      <c r="K17" s="106">
        <v>192.4</v>
      </c>
      <c r="L17" s="106">
        <v>192.4</v>
      </c>
      <c r="M17" s="106">
        <v>192.4</v>
      </c>
      <c r="N17" t="s">
        <v>960</v>
      </c>
    </row>
    <row r="18" spans="2:14">
      <c r="D18" s="220"/>
      <c r="E18" s="220"/>
      <c r="F18" s="220"/>
      <c r="G18" s="220"/>
      <c r="H18" s="220"/>
      <c r="I18" s="220"/>
      <c r="J18" s="220"/>
      <c r="K18" s="220"/>
      <c r="L18" s="220"/>
      <c r="M18" s="220"/>
    </row>
    <row r="20" spans="2:14">
      <c r="B20" t="s">
        <v>236</v>
      </c>
    </row>
    <row r="21" spans="2:14">
      <c r="B21" s="106" t="s">
        <v>239</v>
      </c>
    </row>
    <row r="22" spans="2:14">
      <c r="B22" s="106" t="s">
        <v>937</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937</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0" t="s">
        <v>244</v>
      </c>
      <c r="C38" s="670"/>
      <c r="D38" s="670"/>
      <c r="E38" s="670"/>
      <c r="F38" s="300"/>
      <c r="G38" s="300"/>
      <c r="H38" s="300"/>
    </row>
    <row r="39" spans="2:8" ht="14.5" thickBot="1">
      <c r="B39" s="337"/>
      <c r="C39" s="337"/>
      <c r="D39" s="337"/>
      <c r="E39" s="337"/>
      <c r="F39" s="300"/>
      <c r="G39" s="300"/>
      <c r="H39" s="300"/>
    </row>
    <row r="40" spans="2:8" ht="14">
      <c r="B40" s="668"/>
      <c r="C40" s="671" t="s">
        <v>245</v>
      </c>
      <c r="D40" s="658" t="s">
        <v>246</v>
      </c>
      <c r="E40" s="659"/>
      <c r="F40" s="300"/>
      <c r="G40" s="300"/>
      <c r="H40" s="300"/>
    </row>
    <row r="41" spans="2:8" ht="14.5" thickBot="1">
      <c r="B41" s="669"/>
      <c r="C41" s="672"/>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60" t="s">
        <v>251</v>
      </c>
      <c r="C44" s="661"/>
      <c r="D44" s="661"/>
      <c r="E44" s="662"/>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60" t="s">
        <v>256</v>
      </c>
      <c r="C50" s="661"/>
      <c r="D50" s="661"/>
      <c r="E50" s="662"/>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65" t="s">
        <v>257</v>
      </c>
      <c r="C56" s="666"/>
      <c r="D56" s="666"/>
      <c r="E56" s="667"/>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65" t="s">
        <v>263</v>
      </c>
      <c r="C63" s="666"/>
      <c r="D63" s="666"/>
      <c r="E63" s="667"/>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65" t="s">
        <v>269</v>
      </c>
      <c r="C70" s="666"/>
      <c r="D70" s="666"/>
      <c r="E70" s="667"/>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4" t="s">
        <v>300</v>
      </c>
      <c r="C129" s="664"/>
      <c r="D129" s="664"/>
      <c r="E129" s="664"/>
      <c r="F129" s="664"/>
      <c r="G129" s="664"/>
      <c r="H129" s="664"/>
      <c r="I129" s="664"/>
      <c r="J129" s="664"/>
      <c r="K129" s="664"/>
    </row>
    <row r="130" spans="1:11" ht="15.5">
      <c r="B130" s="651" t="s">
        <v>301</v>
      </c>
      <c r="C130" s="651"/>
      <c r="D130" s="651"/>
      <c r="E130" s="651"/>
      <c r="F130" s="651"/>
      <c r="G130" s="651"/>
      <c r="H130" s="651"/>
      <c r="I130" s="651"/>
      <c r="J130" s="651"/>
      <c r="K130" s="651"/>
    </row>
    <row r="131" spans="1:11" ht="16" thickBot="1">
      <c r="B131" s="365"/>
      <c r="C131" s="366"/>
      <c r="D131" s="366"/>
      <c r="E131" s="366"/>
      <c r="F131" s="366"/>
      <c r="G131" s="366"/>
      <c r="H131" s="366"/>
      <c r="I131" s="366"/>
      <c r="J131" s="366"/>
      <c r="K131" s="366"/>
    </row>
    <row r="132" spans="1:11" ht="15.5">
      <c r="B132" s="652" t="s">
        <v>302</v>
      </c>
      <c r="C132" s="654" t="s">
        <v>106</v>
      </c>
      <c r="D132" s="656" t="s">
        <v>303</v>
      </c>
      <c r="E132" s="656"/>
      <c r="F132" s="654" t="s">
        <v>304</v>
      </c>
      <c r="G132" s="656" t="s">
        <v>303</v>
      </c>
      <c r="H132" s="656"/>
      <c r="I132" s="654" t="s">
        <v>305</v>
      </c>
      <c r="J132" s="656" t="s">
        <v>303</v>
      </c>
      <c r="K132" s="657"/>
    </row>
    <row r="133" spans="1:11" ht="15.5" thickBot="1">
      <c r="B133" s="653"/>
      <c r="C133" s="655"/>
      <c r="D133" s="367" t="s">
        <v>306</v>
      </c>
      <c r="E133" s="367" t="s">
        <v>307</v>
      </c>
      <c r="F133" s="655"/>
      <c r="G133" s="367" t="s">
        <v>306</v>
      </c>
      <c r="H133" s="367" t="s">
        <v>307</v>
      </c>
      <c r="I133" s="655"/>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937</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937</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937</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937</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937</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937</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937</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937</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5" t="s">
        <v>203</v>
      </c>
      <c r="C2" s="675"/>
      <c r="D2" s="675"/>
      <c r="E2" s="675"/>
      <c r="F2" s="675"/>
      <c r="G2" s="675"/>
      <c r="H2" s="675"/>
      <c r="I2" s="675"/>
      <c r="J2" s="675"/>
      <c r="K2" s="675"/>
      <c r="L2" s="675"/>
      <c r="M2" s="675"/>
      <c r="N2" s="675"/>
    </row>
    <row r="3" spans="2:15" ht="14.5" thickBot="1">
      <c r="B3" s="676" t="s">
        <v>204</v>
      </c>
      <c r="C3" s="676"/>
      <c r="D3" s="676"/>
      <c r="E3" s="676"/>
      <c r="F3" s="676"/>
      <c r="G3" s="676"/>
      <c r="H3" s="676"/>
      <c r="I3" s="676"/>
      <c r="J3" s="676"/>
      <c r="K3" s="676"/>
      <c r="L3" s="676"/>
      <c r="M3" s="676"/>
      <c r="N3" s="676"/>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77" t="s">
        <v>137</v>
      </c>
      <c r="D3" s="678"/>
      <c r="E3" s="679"/>
      <c r="H3" s="171"/>
      <c r="I3" s="171"/>
      <c r="J3" s="171"/>
      <c r="K3" s="171"/>
    </row>
    <row r="4" spans="1:20" ht="15.9" customHeight="1" thickBot="1">
      <c r="A4" s="680" t="s">
        <v>937</v>
      </c>
      <c r="B4" s="116" t="s">
        <v>49</v>
      </c>
      <c r="C4" s="122" t="s">
        <v>178</v>
      </c>
      <c r="D4" s="117" t="s">
        <v>179</v>
      </c>
      <c r="E4" s="118" t="s">
        <v>51</v>
      </c>
      <c r="H4" s="171"/>
      <c r="I4" s="172">
        <v>2010</v>
      </c>
      <c r="J4" s="171"/>
      <c r="K4" s="171"/>
    </row>
    <row r="5" spans="1:20" ht="15.9" customHeight="1">
      <c r="A5" s="681"/>
      <c r="B5" s="110" t="s">
        <v>275</v>
      </c>
      <c r="C5" s="123" t="s">
        <v>178</v>
      </c>
      <c r="D5" s="111" t="s">
        <v>179</v>
      </c>
      <c r="E5" s="112" t="s">
        <v>51</v>
      </c>
      <c r="H5" s="173"/>
      <c r="I5" s="174" t="s">
        <v>169</v>
      </c>
      <c r="J5" s="175"/>
      <c r="K5" s="176"/>
    </row>
    <row r="6" spans="1:20" ht="15.9" customHeight="1">
      <c r="A6" s="681"/>
      <c r="B6" s="110" t="s">
        <v>277</v>
      </c>
      <c r="C6" s="123" t="s">
        <v>178</v>
      </c>
      <c r="D6" s="111" t="s">
        <v>179</v>
      </c>
      <c r="E6" s="112" t="s">
        <v>51</v>
      </c>
      <c r="H6" s="177" t="s">
        <v>167</v>
      </c>
      <c r="I6" s="178" t="e">
        <f>#REF!</f>
        <v>#REF!</v>
      </c>
      <c r="J6" s="179" t="s">
        <v>170</v>
      </c>
      <c r="K6" s="684" t="s">
        <v>116</v>
      </c>
    </row>
    <row r="7" spans="1:20" ht="15.9" customHeight="1">
      <c r="A7" s="681"/>
      <c r="B7" s="110" t="s">
        <v>50</v>
      </c>
      <c r="C7" s="123" t="s">
        <v>178</v>
      </c>
      <c r="D7" s="111" t="s">
        <v>179</v>
      </c>
      <c r="E7" s="112" t="s">
        <v>51</v>
      </c>
      <c r="H7" s="177" t="s">
        <v>171</v>
      </c>
      <c r="I7" s="178" t="e">
        <f>#REF!</f>
        <v>#REF!</v>
      </c>
      <c r="J7" s="179" t="s">
        <v>172</v>
      </c>
      <c r="K7" s="685"/>
    </row>
    <row r="8" spans="1:20" ht="15.9" customHeight="1">
      <c r="A8" s="681"/>
      <c r="B8" s="110" t="s">
        <v>276</v>
      </c>
      <c r="C8" s="123" t="s">
        <v>178</v>
      </c>
      <c r="D8" s="111" t="s">
        <v>179</v>
      </c>
      <c r="E8" s="112" t="s">
        <v>51</v>
      </c>
      <c r="H8" s="177" t="s">
        <v>174</v>
      </c>
      <c r="I8" s="178" t="e">
        <f>#REF!</f>
        <v>#REF!</v>
      </c>
      <c r="J8" s="179" t="s">
        <v>172</v>
      </c>
      <c r="K8" s="686"/>
    </row>
    <row r="9" spans="1:20" ht="15.9" customHeight="1" thickBot="1">
      <c r="A9" s="682"/>
      <c r="B9" s="119" t="s">
        <v>278</v>
      </c>
      <c r="C9" s="125" t="s">
        <v>178</v>
      </c>
      <c r="D9" s="120" t="s">
        <v>179</v>
      </c>
      <c r="E9" s="121" t="s">
        <v>51</v>
      </c>
      <c r="H9" s="177" t="s">
        <v>166</v>
      </c>
      <c r="I9" s="178" t="e">
        <f>#REF!</f>
        <v>#REF!</v>
      </c>
      <c r="J9" s="179" t="s">
        <v>175</v>
      </c>
      <c r="K9" s="684" t="s">
        <v>173</v>
      </c>
      <c r="N9" s="1"/>
      <c r="O9" s="1"/>
      <c r="P9" s="1"/>
      <c r="Q9" s="1"/>
    </row>
    <row r="10" spans="1:20" ht="15.9" customHeight="1">
      <c r="A10" s="681" t="s">
        <v>185</v>
      </c>
      <c r="B10" s="110" t="s">
        <v>49</v>
      </c>
      <c r="C10" s="123" t="s">
        <v>178</v>
      </c>
      <c r="D10" s="111" t="s">
        <v>179</v>
      </c>
      <c r="E10" s="112" t="s">
        <v>51</v>
      </c>
      <c r="H10" s="177" t="s">
        <v>176</v>
      </c>
      <c r="I10" s="178" t="e">
        <f>#REF!</f>
        <v>#REF!</v>
      </c>
      <c r="J10" s="179" t="s">
        <v>175</v>
      </c>
      <c r="K10" s="686"/>
      <c r="N10" s="1"/>
      <c r="O10" s="1"/>
      <c r="P10" s="1"/>
      <c r="Q10" s="1"/>
    </row>
    <row r="11" spans="1:20" ht="15.9" customHeight="1">
      <c r="A11" s="681"/>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1"/>
      <c r="B12" s="110" t="s">
        <v>277</v>
      </c>
      <c r="C12" s="123" t="s">
        <v>178</v>
      </c>
      <c r="D12" s="111" t="s">
        <v>179</v>
      </c>
      <c r="E12" s="112" t="s">
        <v>51</v>
      </c>
      <c r="H12" s="181" t="s">
        <v>106</v>
      </c>
      <c r="I12" s="182" t="e">
        <f>SUM(I6:I11)</f>
        <v>#REF!</v>
      </c>
      <c r="J12" s="183"/>
      <c r="K12" s="184"/>
      <c r="N12" s="1"/>
      <c r="O12" s="1"/>
      <c r="P12" s="1"/>
      <c r="Q12" s="1"/>
    </row>
    <row r="13" spans="1:20" ht="15.9" customHeight="1">
      <c r="A13" s="681"/>
      <c r="B13" s="110" t="s">
        <v>50</v>
      </c>
      <c r="C13" s="123" t="s">
        <v>178</v>
      </c>
      <c r="D13" s="111" t="s">
        <v>179</v>
      </c>
      <c r="E13" s="112" t="s">
        <v>51</v>
      </c>
      <c r="N13" s="1"/>
      <c r="O13" s="1"/>
      <c r="P13" s="1"/>
      <c r="Q13" s="1"/>
    </row>
    <row r="14" spans="1:20" ht="15.9" customHeight="1">
      <c r="A14" s="681"/>
      <c r="B14" s="110" t="s">
        <v>276</v>
      </c>
      <c r="C14" s="123" t="s">
        <v>178</v>
      </c>
      <c r="D14" s="111" t="s">
        <v>179</v>
      </c>
      <c r="E14" s="112" t="s">
        <v>51</v>
      </c>
      <c r="N14" s="1"/>
      <c r="O14" s="1"/>
      <c r="P14" s="1"/>
      <c r="Q14" s="1"/>
      <c r="R14" s="1"/>
      <c r="S14" s="1"/>
      <c r="T14" s="1"/>
    </row>
    <row r="15" spans="1:20" ht="15.9" customHeight="1" thickBot="1">
      <c r="A15" s="683"/>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1" t="s">
        <v>98</v>
      </c>
      <c r="C7" s="691"/>
      <c r="D7" s="692" t="s">
        <v>99</v>
      </c>
      <c r="E7" s="692"/>
      <c r="F7" s="693" t="s">
        <v>100</v>
      </c>
      <c r="G7" s="693"/>
      <c r="H7" s="693" t="s">
        <v>101</v>
      </c>
      <c r="I7" s="693"/>
      <c r="J7" s="694" t="s">
        <v>102</v>
      </c>
      <c r="K7" s="694"/>
      <c r="L7" s="689" t="s">
        <v>103</v>
      </c>
      <c r="M7" s="689"/>
      <c r="N7" s="690" t="s">
        <v>104</v>
      </c>
      <c r="O7" s="690"/>
      <c r="P7" s="690" t="s">
        <v>105</v>
      </c>
      <c r="Q7" s="690"/>
      <c r="U7" s="688" t="s">
        <v>69</v>
      </c>
      <c r="V7" s="688"/>
      <c r="W7" s="688" t="s">
        <v>71</v>
      </c>
      <c r="X7" s="688"/>
      <c r="Y7" s="688" t="s">
        <v>73</v>
      </c>
      <c r="Z7" s="688"/>
      <c r="AA7" s="143" t="s">
        <v>70</v>
      </c>
      <c r="AB7" s="143"/>
      <c r="AC7" s="143" t="s">
        <v>72</v>
      </c>
      <c r="AD7" s="143"/>
      <c r="AE7" s="143" t="s">
        <v>74</v>
      </c>
      <c r="AF7" s="143"/>
      <c r="AJ7" s="688" t="e">
        <f>Commodities!#REF!</f>
        <v>#REF!</v>
      </c>
      <c r="AK7" s="688"/>
      <c r="AL7" s="688" t="str">
        <f>Commodities!$C$7</f>
        <v>RHUDB</v>
      </c>
      <c r="AM7" s="688"/>
      <c r="AN7" s="688" t="str">
        <f>Commodities!$C$8</f>
        <v>RHRDB</v>
      </c>
      <c r="AO7" s="688"/>
      <c r="AP7" s="687" t="e">
        <f>Commodities!#REF!</f>
        <v>#REF!</v>
      </c>
      <c r="AQ7" s="687"/>
      <c r="AR7" s="687" t="str">
        <f>Commodities!$C$9</f>
        <v>RHUMB</v>
      </c>
      <c r="AS7" s="687"/>
      <c r="AT7" s="687" t="str">
        <f>Commodities!$C$10</f>
        <v>RHRMB</v>
      </c>
      <c r="AU7" s="68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Data manipulation</vt:lpstr>
      <vt:lpstr>Buildings_DR</vt:lpstr>
      <vt:lpstr>Appliances&amp;Cooking</vt:lpstr>
      <vt:lpstr>Dem</vt:lpstr>
      <vt:lpstr>Emis</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2022-03-23T14:40:06Z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